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MN39\VicGov\VFA - MPS&amp;L Shared Drive - Fisheries Policy and Governance\PROSPECTIVE COST RECOVERY\CR SCHEDULE REPORT TEMPLATES\2019-20\"/>
    </mc:Choice>
  </mc:AlternateContent>
  <xr:revisionPtr revIDLastSave="929" documentId="8_{9A4D9ADC-D6FA-4F69-B5B8-1AF7B1760C1E}" xr6:coauthVersionLast="36" xr6:coauthVersionMax="36" xr10:uidLastSave="{D96CE181-DCFF-4B2C-955B-F31D058E8317}"/>
  <bookViews>
    <workbookView xWindow="-15" yWindow="105" windowWidth="13440" windowHeight="11220" tabRatio="844" activeTab="1" xr2:uid="{00000000-000D-0000-FFFF-FFFF00000000}"/>
  </bookViews>
  <sheets>
    <sheet name="Sheet1" sheetId="101" r:id="rId1"/>
    <sheet name="CZ Abalone" sheetId="89" r:id="rId2"/>
    <sheet name="EZ Abalone" sheetId="90" r:id="rId3"/>
    <sheet name="WZ Abalone" sheetId="88" r:id="rId4"/>
    <sheet name="Bait (General)" sheetId="77" r:id="rId5"/>
    <sheet name="GL Bait" sheetId="80" r:id="rId6"/>
    <sheet name="LT Bait" sheetId="82" r:id="rId7"/>
    <sheet name="Mallacoota Bait" sheetId="83" r:id="rId8"/>
    <sheet name="Snowy River Bait" sheetId="85" r:id="rId9"/>
    <sheet name="Sydenham Inlet Bait" sheetId="84" r:id="rId10"/>
    <sheet name="Corner Inlet" sheetId="24" r:id="rId11"/>
    <sheet name="Eel" sheetId="78" r:id="rId12"/>
    <sheet name="Giant crab" sheetId="95" r:id="rId13"/>
    <sheet name="Gippsland Lakes" sheetId="74" r:id="rId14"/>
    <sheet name="GL Mussel Dive" sheetId="81" r:id="rId15"/>
    <sheet name="OFAL" sheetId="98" r:id="rId16"/>
    <sheet name="Ocean Purse Seine" sheetId="99" r:id="rId17"/>
    <sheet name="EZ Rock lobster" sheetId="94" r:id="rId18"/>
    <sheet name="WZ Rock lobster" sheetId="93" r:id="rId19"/>
    <sheet name="PPB Dive Scallop" sheetId="92" r:id="rId20"/>
    <sheet name="Ocean scallop" sheetId="97" r:id="rId21"/>
    <sheet name="Sea Urchin" sheetId="91" r:id="rId22"/>
    <sheet name="Inshore trawl" sheetId="75" r:id="rId23"/>
    <sheet name="WP-PPB" sheetId="76" r:id="rId24"/>
    <sheet name="Wrasse" sheetId="79" r:id="rId25"/>
    <sheet name="FR Abalone" sheetId="96" r:id="rId26"/>
  </sheets>
  <definedNames>
    <definedName name="indi">#REF!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5" i="77" l="1"/>
  <c r="I15" i="77" s="1"/>
  <c r="K15" i="77" s="1"/>
  <c r="G15" i="98" l="1"/>
  <c r="I15" i="98" s="1"/>
  <c r="K15" i="98" s="1"/>
  <c r="G15" i="81"/>
  <c r="I15" i="81" s="1"/>
  <c r="K15" i="81" s="1"/>
  <c r="F5" i="76" l="1"/>
  <c r="F11" i="76"/>
  <c r="G31" i="98" l="1"/>
  <c r="G5" i="74"/>
  <c r="G11" i="74"/>
  <c r="G15" i="74"/>
  <c r="I15" i="74" s="1"/>
  <c r="K15" i="74" s="1"/>
  <c r="G20" i="74"/>
  <c r="H24" i="74"/>
  <c r="H31" i="95"/>
  <c r="G11" i="77" l="1"/>
  <c r="G11" i="85"/>
  <c r="H5" i="90" l="1"/>
  <c r="H5" i="88"/>
  <c r="H40" i="94" l="1"/>
  <c r="G34" i="94"/>
  <c r="G30" i="94"/>
  <c r="G21" i="94"/>
  <c r="G18" i="94"/>
  <c r="G10" i="94"/>
  <c r="G5" i="94"/>
  <c r="G40" i="93"/>
  <c r="F34" i="93"/>
  <c r="F30" i="93"/>
  <c r="F28" i="93"/>
  <c r="F21" i="93"/>
  <c r="F18" i="93"/>
  <c r="F10" i="93"/>
  <c r="F5" i="93"/>
  <c r="F28" i="94" l="1"/>
  <c r="G28" i="94" s="1"/>
  <c r="I39" i="95"/>
  <c r="H27" i="95"/>
  <c r="H20" i="95"/>
  <c r="H16" i="95" l="1"/>
  <c r="H9" i="95"/>
  <c r="H5" i="95"/>
  <c r="G10" i="88" l="1"/>
  <c r="G5" i="88"/>
  <c r="I5" i="88" s="1"/>
  <c r="K5" i="88" s="1"/>
  <c r="G15" i="88"/>
  <c r="G19" i="88"/>
  <c r="G30" i="88"/>
  <c r="H38" i="88"/>
  <c r="G31" i="90"/>
  <c r="H39" i="90"/>
  <c r="G19" i="90"/>
  <c r="G10" i="90"/>
  <c r="G5" i="90"/>
  <c r="G15" i="90"/>
  <c r="G5" i="97" l="1"/>
  <c r="G20" i="97"/>
  <c r="G19" i="97"/>
  <c r="H23" i="97"/>
  <c r="G12" i="97"/>
  <c r="G5" i="76"/>
  <c r="H20" i="76"/>
  <c r="H24" i="76"/>
  <c r="G20" i="76"/>
  <c r="G11" i="76"/>
  <c r="G8" i="91"/>
  <c r="G5" i="91"/>
  <c r="G12" i="91"/>
  <c r="G19" i="91"/>
  <c r="H23" i="91"/>
  <c r="I20" i="76" l="1"/>
  <c r="G5" i="75"/>
  <c r="G11" i="75"/>
  <c r="G20" i="75"/>
  <c r="H24" i="75"/>
  <c r="G11" i="24" l="1"/>
  <c r="I11" i="24" s="1"/>
  <c r="K11" i="24" s="1"/>
  <c r="G15" i="24"/>
  <c r="G20" i="24"/>
  <c r="H24" i="24"/>
  <c r="G5" i="24"/>
  <c r="G5" i="79"/>
  <c r="G11" i="79"/>
  <c r="G20" i="79"/>
  <c r="H25" i="79"/>
  <c r="G20" i="84"/>
  <c r="H24" i="84"/>
  <c r="G15" i="84"/>
  <c r="G11" i="84"/>
  <c r="G5" i="84" l="1"/>
  <c r="G15" i="85" l="1"/>
  <c r="G20" i="85"/>
  <c r="G5" i="85"/>
  <c r="H24" i="83"/>
  <c r="G20" i="83"/>
  <c r="G5" i="83"/>
  <c r="G11" i="83"/>
  <c r="G20" i="82"/>
  <c r="H24" i="82"/>
  <c r="G15" i="82"/>
  <c r="G5" i="82"/>
  <c r="G15" i="80"/>
  <c r="H24" i="80" l="1"/>
  <c r="G20" i="80"/>
  <c r="H24" i="85"/>
  <c r="G11" i="80"/>
  <c r="H5" i="80"/>
  <c r="G5" i="77"/>
  <c r="G15" i="89" l="1"/>
  <c r="G17" i="96" l="1"/>
  <c r="F10" i="96"/>
  <c r="F5" i="96"/>
  <c r="G13" i="92"/>
  <c r="G5" i="99"/>
  <c r="G20" i="99"/>
  <c r="H24" i="99"/>
  <c r="G5" i="98"/>
  <c r="G11" i="98"/>
  <c r="G18" i="98"/>
  <c r="I18" i="98" s="1"/>
  <c r="K18" i="98" s="1"/>
  <c r="H22" i="98"/>
  <c r="G19" i="81"/>
  <c r="G5" i="81"/>
  <c r="H23" i="81"/>
  <c r="K23" i="78"/>
  <c r="J19" i="78"/>
  <c r="J13" i="78"/>
  <c r="J8" i="78"/>
  <c r="H24" i="77" l="1"/>
  <c r="H20" i="77" l="1"/>
  <c r="I30" i="94" l="1"/>
  <c r="K30" i="94" s="1"/>
  <c r="I28" i="94"/>
  <c r="K28" i="94" s="1"/>
  <c r="I21" i="94"/>
  <c r="K21" i="94" s="1"/>
  <c r="I10" i="94"/>
  <c r="K10" i="94" s="1"/>
  <c r="I5" i="94"/>
  <c r="K5" i="94" s="1"/>
  <c r="H17" i="96"/>
  <c r="J17" i="96" s="1"/>
  <c r="H10" i="96"/>
  <c r="J10" i="96" s="1"/>
  <c r="H5" i="96"/>
  <c r="J5" i="96" s="1"/>
  <c r="L23" i="78"/>
  <c r="N23" i="78" s="1"/>
  <c r="L19" i="78"/>
  <c r="N19" i="78" s="1"/>
  <c r="L13" i="78"/>
  <c r="N13" i="78" s="1"/>
  <c r="L8" i="78"/>
  <c r="N8" i="78" s="1"/>
  <c r="I24" i="85"/>
  <c r="K24" i="85" s="1"/>
  <c r="I20" i="85"/>
  <c r="K20" i="85" s="1"/>
  <c r="I15" i="85"/>
  <c r="K15" i="85" s="1"/>
  <c r="I11" i="85"/>
  <c r="K11" i="85" s="1"/>
  <c r="I5" i="85"/>
  <c r="K5" i="85" s="1"/>
  <c r="I24" i="84"/>
  <c r="K24" i="84" s="1"/>
  <c r="I20" i="84"/>
  <c r="K20" i="84" s="1"/>
  <c r="I15" i="84"/>
  <c r="K15" i="84" s="1"/>
  <c r="I11" i="84"/>
  <c r="K11" i="84" s="1"/>
  <c r="I5" i="84"/>
  <c r="K5" i="84" s="1"/>
  <c r="I24" i="83"/>
  <c r="K24" i="83" s="1"/>
  <c r="I20" i="83"/>
  <c r="K20" i="83" s="1"/>
  <c r="I11" i="83"/>
  <c r="K11" i="83" s="1"/>
  <c r="I5" i="83"/>
  <c r="K5" i="83" s="1"/>
  <c r="I24" i="82"/>
  <c r="K24" i="82" s="1"/>
  <c r="I20" i="82"/>
  <c r="K20" i="82" s="1"/>
  <c r="I15" i="82"/>
  <c r="K15" i="82" s="1"/>
  <c r="I11" i="82"/>
  <c r="K11" i="82" s="1"/>
  <c r="I5" i="82"/>
  <c r="K5" i="82" s="1"/>
  <c r="I23" i="81"/>
  <c r="K23" i="81" s="1"/>
  <c r="I19" i="81"/>
  <c r="K19" i="81" s="1"/>
  <c r="I5" i="81"/>
  <c r="K5" i="81" s="1"/>
  <c r="I24" i="80"/>
  <c r="I20" i="80"/>
  <c r="K20" i="80" s="1"/>
  <c r="I15" i="80"/>
  <c r="K15" i="80" s="1"/>
  <c r="I11" i="80"/>
  <c r="K11" i="80" s="1"/>
  <c r="I5" i="80"/>
  <c r="K5" i="80" s="1"/>
  <c r="I24" i="77"/>
  <c r="K24" i="77" s="1"/>
  <c r="I20" i="77"/>
  <c r="K20" i="77" s="1"/>
  <c r="I11" i="77"/>
  <c r="K11" i="77" s="1"/>
  <c r="I5" i="77"/>
  <c r="K5" i="77" s="1"/>
  <c r="I24" i="76"/>
  <c r="K24" i="76" s="1"/>
  <c r="K20" i="76"/>
  <c r="I11" i="76"/>
  <c r="K11" i="76" s="1"/>
  <c r="I5" i="76"/>
  <c r="K5" i="76" s="1"/>
  <c r="I24" i="75"/>
  <c r="K24" i="75" s="1"/>
  <c r="I20" i="75"/>
  <c r="K20" i="75" s="1"/>
  <c r="I11" i="75"/>
  <c r="K11" i="75" s="1"/>
  <c r="I5" i="75"/>
  <c r="K5" i="75" s="1"/>
  <c r="I24" i="99"/>
  <c r="K24" i="99" s="1"/>
  <c r="I20" i="99"/>
  <c r="K20" i="99" s="1"/>
  <c r="K11" i="99"/>
  <c r="I11" i="99"/>
  <c r="I5" i="99"/>
  <c r="K5" i="99" s="1"/>
  <c r="I22" i="98"/>
  <c r="K22" i="98" s="1"/>
  <c r="I11" i="98"/>
  <c r="K11" i="98" s="1"/>
  <c r="I5" i="98"/>
  <c r="K5" i="98" s="1"/>
  <c r="I24" i="24"/>
  <c r="K24" i="24" s="1"/>
  <c r="I20" i="24"/>
  <c r="K20" i="24" s="1"/>
  <c r="I15" i="24"/>
  <c r="K15" i="24" s="1"/>
  <c r="I5" i="24"/>
  <c r="K5" i="24" s="1"/>
  <c r="I24" i="74"/>
  <c r="K24" i="74" s="1"/>
  <c r="I20" i="74"/>
  <c r="K20" i="74" s="1"/>
  <c r="I11" i="74"/>
  <c r="K11" i="74" s="1"/>
  <c r="I5" i="74"/>
  <c r="K5" i="74" s="1"/>
  <c r="I25" i="79"/>
  <c r="K25" i="79" s="1"/>
  <c r="I20" i="79"/>
  <c r="K20" i="79" s="1"/>
  <c r="I11" i="79"/>
  <c r="K11" i="79" s="1"/>
  <c r="I5" i="79"/>
  <c r="K5" i="79" s="1"/>
  <c r="I23" i="91"/>
  <c r="K23" i="91" s="1"/>
  <c r="I19" i="91"/>
  <c r="K19" i="91" s="1"/>
  <c r="I12" i="91"/>
  <c r="K12" i="91" s="1"/>
  <c r="I8" i="91"/>
  <c r="K8" i="91" s="1"/>
  <c r="I5" i="91"/>
  <c r="K5" i="91" s="1"/>
  <c r="I23" i="97"/>
  <c r="K23" i="97" s="1"/>
  <c r="I20" i="97"/>
  <c r="K20" i="97" s="1"/>
  <c r="I19" i="97"/>
  <c r="K19" i="97" s="1"/>
  <c r="I12" i="97"/>
  <c r="K12" i="97" s="1"/>
  <c r="I5" i="97"/>
  <c r="K5" i="97" s="1"/>
  <c r="I13" i="92"/>
  <c r="K13" i="92" s="1"/>
  <c r="J39" i="95"/>
  <c r="J31" i="95"/>
  <c r="L31" i="95" s="1"/>
  <c r="J27" i="95"/>
  <c r="L27" i="95" s="1"/>
  <c r="J20" i="95"/>
  <c r="L20" i="95" s="1"/>
  <c r="J16" i="95"/>
  <c r="L16" i="95" s="1"/>
  <c r="J9" i="95"/>
  <c r="L9" i="95" s="1"/>
  <c r="J5" i="95"/>
  <c r="L5" i="95" s="1"/>
  <c r="H40" i="93"/>
  <c r="J40" i="93" s="1"/>
  <c r="H34" i="93"/>
  <c r="J34" i="93" s="1"/>
  <c r="H30" i="93"/>
  <c r="J30" i="93" s="1"/>
  <c r="H28" i="93"/>
  <c r="J28" i="93" s="1"/>
  <c r="H21" i="93"/>
  <c r="J21" i="93" s="1"/>
  <c r="H18" i="93"/>
  <c r="J18" i="93" s="1"/>
  <c r="H10" i="93"/>
  <c r="J10" i="93" s="1"/>
  <c r="H5" i="93"/>
  <c r="J5" i="93" s="1"/>
  <c r="I40" i="94"/>
  <c r="I34" i="94"/>
  <c r="K34" i="94" s="1"/>
  <c r="I18" i="94"/>
  <c r="K18" i="94" s="1"/>
  <c r="I38" i="88"/>
  <c r="K38" i="88" s="1"/>
  <c r="I30" i="88"/>
  <c r="K30" i="88" s="1"/>
  <c r="I19" i="88"/>
  <c r="K19" i="88" s="1"/>
  <c r="I15" i="88"/>
  <c r="K15" i="88" s="1"/>
  <c r="I10" i="88"/>
  <c r="K10" i="88" s="1"/>
  <c r="I15" i="89"/>
  <c r="K15" i="89" s="1"/>
  <c r="I39" i="90"/>
  <c r="K39" i="90" s="1"/>
  <c r="I31" i="90"/>
  <c r="K31" i="90" s="1"/>
  <c r="I19" i="90"/>
  <c r="K19" i="90" s="1"/>
  <c r="I15" i="90"/>
  <c r="K15" i="90" s="1"/>
  <c r="I10" i="90"/>
  <c r="K10" i="90" s="1"/>
  <c r="I5" i="90"/>
  <c r="K5" i="90" s="1"/>
  <c r="N5" i="78"/>
  <c r="I15" i="91"/>
  <c r="K15" i="91" s="1"/>
  <c r="I15" i="97"/>
  <c r="K15" i="97" s="1"/>
  <c r="L39" i="95" l="1"/>
  <c r="K40" i="9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Kate A Simpson (DEDJTR)</author>
  </authors>
  <commentList>
    <comment ref="D11" authorId="0" shapeId="0" xr:uid="{4EF6596E-C92C-451F-AA19-AE134489EBB0}">
      <text>
        <r>
          <rPr>
            <b/>
            <sz val="9"/>
            <color indexed="81"/>
            <rFont val="Tahoma"/>
            <charset val="1"/>
          </rPr>
          <t>Kate A Simpson (DEDJTR):</t>
        </r>
        <r>
          <rPr>
            <sz val="9"/>
            <color indexed="81"/>
            <rFont val="Tahoma"/>
            <charset val="1"/>
          </rPr>
          <t xml:space="preserve">
should be VFA not DEDJTR</t>
        </r>
      </text>
    </comment>
    <comment ref="D12" authorId="0" shapeId="0" xr:uid="{A01337C8-69E0-4227-8722-8921A0F012F9}">
      <text>
        <r>
          <rPr>
            <b/>
            <sz val="9"/>
            <color indexed="81"/>
            <rFont val="Tahoma"/>
            <charset val="1"/>
          </rPr>
          <t>Kate A Simpson (DEDJTR):</t>
        </r>
        <r>
          <rPr>
            <sz val="9"/>
            <color indexed="81"/>
            <rFont val="Tahoma"/>
            <charset val="1"/>
          </rPr>
          <t xml:space="preserve">
Assume that this should be 2019?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Kate A Simpson (DEDJTR)</author>
  </authors>
  <commentList>
    <comment ref="D12" authorId="0" shapeId="0" xr:uid="{CE8914A6-B2BA-4E9B-A588-708317D746B7}">
      <text>
        <r>
          <rPr>
            <b/>
            <sz val="9"/>
            <color indexed="81"/>
            <rFont val="Tahoma"/>
            <charset val="1"/>
          </rPr>
          <t>Kate A Simpson (DEDJTR):</t>
        </r>
        <r>
          <rPr>
            <sz val="9"/>
            <color indexed="81"/>
            <rFont val="Tahoma"/>
            <charset val="1"/>
          </rPr>
          <t xml:space="preserve">
2019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Kate A Simpson (DEDJTR)</author>
  </authors>
  <commentList>
    <comment ref="D12" authorId="0" shapeId="0" xr:uid="{6B448468-85CC-4E79-BE12-CE4464C2EFE1}">
      <text>
        <r>
          <rPr>
            <b/>
            <sz val="9"/>
            <color indexed="81"/>
            <rFont val="Tahoma"/>
            <charset val="1"/>
          </rPr>
          <t>Kate A Simpson (DEDJTR):</t>
        </r>
        <r>
          <rPr>
            <sz val="9"/>
            <color indexed="81"/>
            <rFont val="Tahoma"/>
            <charset val="1"/>
          </rPr>
          <t xml:space="preserve">
2019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Kate A Simpson (DEDJTR)</author>
  </authors>
  <commentList>
    <comment ref="B5" authorId="0" shapeId="0" xr:uid="{E105382C-F85E-4E79-8125-5F173B026166}">
      <text>
        <r>
          <rPr>
            <b/>
            <sz val="9"/>
            <color indexed="81"/>
            <rFont val="Tahoma"/>
            <charset val="1"/>
          </rPr>
          <t>Kate A Simpson (DEDJTR):</t>
        </r>
        <r>
          <rPr>
            <sz val="9"/>
            <color indexed="81"/>
            <rFont val="Tahoma"/>
            <charset val="1"/>
          </rPr>
          <t xml:space="preserve">
VFA</t>
        </r>
      </text>
    </comment>
    <comment ref="D7" authorId="0" shapeId="0" xr:uid="{9F737AC6-96FB-463A-BECF-D889B5691812}">
      <text>
        <r>
          <rPr>
            <b/>
            <sz val="9"/>
            <color indexed="81"/>
            <rFont val="Tahoma"/>
            <charset val="1"/>
          </rPr>
          <t>Kate A Simpson (DEDJTR):</t>
        </r>
        <r>
          <rPr>
            <sz val="9"/>
            <color indexed="81"/>
            <rFont val="Tahoma"/>
            <charset val="1"/>
          </rPr>
          <t xml:space="preserve">
As per previous comments I am unaware of any plans for a stock assessment report and no agreement to meet with stakeholders</t>
        </r>
      </text>
    </comment>
  </commentList>
</comments>
</file>

<file path=xl/sharedStrings.xml><?xml version="1.0" encoding="utf-8"?>
<sst xmlns="http://schemas.openxmlformats.org/spreadsheetml/2006/main" count="4129" uniqueCount="683">
  <si>
    <t>Function</t>
  </si>
  <si>
    <t>Description</t>
  </si>
  <si>
    <t>FTE ($)</t>
  </si>
  <si>
    <t>Operating ($)</t>
  </si>
  <si>
    <t>Total ($)</t>
  </si>
  <si>
    <t>Rec.%</t>
  </si>
  <si>
    <t xml:space="preserve">Inspections are undertaken at any time in any location to ensure the level of compliance is proven to be at an acceptable level. </t>
  </si>
  <si>
    <t xml:space="preserve">The outcome of this activity maintains or raises a risk perception in the mind of any commercial fisher who is contemplating committing an offence. </t>
  </si>
  <si>
    <t>Operation of the C&amp;E Unit (Monitoring receipt of C&amp;E returns; entering of details in the database; checking accuracy; printing C&amp;E reports as required).</t>
  </si>
  <si>
    <t>All data entered in the data base within 3 working days of receipt of dockets.</t>
  </si>
  <si>
    <t>Operational costs only for the provision of secretariat service for the FCRSC (e.g. Chair’s services, meeting room hire, and committee allowances for travel, accommodation and meals).</t>
  </si>
  <si>
    <t>FCRSC minutes prepared and circulated within 7 working days of meetings.</t>
  </si>
  <si>
    <t>Prospective cost recovery system</t>
  </si>
  <si>
    <t>Research Services</t>
  </si>
  <si>
    <t>Deliverables</t>
  </si>
  <si>
    <t>Total Rec. ($)*</t>
  </si>
  <si>
    <t xml:space="preserve">Deliverables </t>
  </si>
  <si>
    <t>Key performance indicator</t>
  </si>
  <si>
    <t>Traffic light</t>
  </si>
  <si>
    <t>FCRSC meeting agenda and papers circulated at least a week in advance of meetings.</t>
  </si>
  <si>
    <t>Compliance Services</t>
  </si>
  <si>
    <t>Administration Services</t>
  </si>
  <si>
    <t>Included in FTE costs</t>
  </si>
  <si>
    <t>TOTAL</t>
  </si>
  <si>
    <t>Management Services</t>
  </si>
  <si>
    <t xml:space="preserve">      Licence Administration</t>
  </si>
  <si>
    <t xml:space="preserve">     Cost Recovery Administration</t>
  </si>
  <si>
    <t xml:space="preserve">Using intelligence, targeted inspections conducted:
• at sea, and
• at landing,
to detect and deter non-compliance with legislation.
</t>
  </si>
  <si>
    <t>All requests for the Corner Inlet Fishery data provided within 5 working days.</t>
  </si>
  <si>
    <t>Rec. %</t>
  </si>
  <si>
    <t>FTE</t>
  </si>
  <si>
    <t>Tot. Rec. ($)</t>
  </si>
  <si>
    <t>Key performance indicator**</t>
  </si>
  <si>
    <t>Acknowledge all requests within five business days of receipt including providing date for completion</t>
  </si>
  <si>
    <t>Data entered within 3 working days of receipt of dockets.</t>
  </si>
  <si>
    <t xml:space="preserve">Requests provided within 5 working days. </t>
  </si>
  <si>
    <t xml:space="preserve">Identify improvements. </t>
  </si>
  <si>
    <t>Respond to stakeholder requests for information.</t>
  </si>
  <si>
    <t>Annual report with prioritized list of improvements for fisheries stock assessment.</t>
  </si>
  <si>
    <t>Prepare and provide management advice to the Fisheries Victoria Executive for decision-making.</t>
  </si>
  <si>
    <t>Proactively engage with stakeholders and manage relationships to foster improved collaborative approach to management and progress agreed initiatives.</t>
  </si>
  <si>
    <t>Preparation of material for stakeholder consultation and logistics for organising meetings.</t>
  </si>
  <si>
    <t>Respond to emerging issues in fisheries management.</t>
  </si>
  <si>
    <t>Meeting/ consultation with stakeholders on the management response to stock status report.</t>
  </si>
  <si>
    <t>Response to requests for information from stakeholders.</t>
  </si>
  <si>
    <t>Regularly engage with stakeholders to understand the status of the fishery and set priorities for work.</t>
  </si>
  <si>
    <t>Implement management changes that ensure the sustainability of the fishery.</t>
  </si>
  <si>
    <t>Acknowledge all requests within five business days of receipt including providing date for completion.</t>
  </si>
  <si>
    <t>Research</t>
  </si>
  <si>
    <t>Compliance</t>
  </si>
  <si>
    <t>Management</t>
  </si>
  <si>
    <t>Licence Administration</t>
  </si>
  <si>
    <t>Cost Recovery Administration</t>
  </si>
  <si>
    <t>Total after Small Operator concession^</t>
  </si>
  <si>
    <t>KPI**</t>
  </si>
  <si>
    <t>Rec %</t>
  </si>
  <si>
    <t>Total Rec. ($)</t>
  </si>
  <si>
    <t>Data collection, monitoring and analysis for stock assessment</t>
  </si>
  <si>
    <t>KPI</t>
  </si>
  <si>
    <t>Rec%</t>
  </si>
  <si>
    <t>Using intelligence, targeted inspections conducted at sea, and at landing, to detect and deter non-compliance with legislation.</t>
  </si>
  <si>
    <t>The outcome of this activity maintains or raises a risk perception in the mind of any commercial fisher who is contemplating committing an offence. This leads to maximising voluntary compliance and creating a deterrent effect.</t>
  </si>
  <si>
    <t xml:space="preserve">Inspections are undertaken at any time in any location to ensure compliance.  This involves: 
-      Enforcement of size limits at the reef code level where there is clear differentiation between reefs (1 by regulation).
-      Enforcement of take-area reporting.
-      Enforcement of take when zonal TACC or allocated quota holding is reached.
</t>
  </si>
  <si>
    <t>Using intelligence, targeted inspections conducted:
·        at sea, 
·        at landing,
·        in transit, and
·        at processor.</t>
  </si>
  <si>
    <t>Note there is no enforcement of catch limits at finer level than zones.</t>
  </si>
  <si>
    <t>Integrity of the quota management system maintained.</t>
  </si>
  <si>
    <t>Divers</t>
  </si>
  <si>
    <t>Administration of abalone quota accounting at diver level (ie monitoring and adjustment of quota balances via in-person reporting and IVR, and other support services) for the Eastern Zone.</t>
  </si>
  <si>
    <t>All quota balances adjusted within 24 hrs of receipt of required documentation.</t>
  </si>
  <si>
    <t>All data entered in to FILS within 5 working days of receipt of required documentation.</t>
  </si>
  <si>
    <t>All catch reports and Quota statements supplied to quota holders within 2 working days of the request.</t>
  </si>
  <si>
    <t>All monthly catch and statistics reports provided to Abalone Management within 5 working days of the end of the month.</t>
  </si>
  <si>
    <t>All supplies of Bin Tags, Abalone Docket books, pre-paid envelopes, etc. despatched to divers within 2 working days of request (when supplies on hand).</t>
  </si>
  <si>
    <t>Provision of Duty Officer 24 hours per day</t>
  </si>
  <si>
    <t>Cost recovery administration per licence</t>
  </si>
  <si>
    <t>Data collection</t>
  </si>
  <si>
    <t>Complete QA/QC on data</t>
  </si>
  <si>
    <t>Industry and FV data</t>
  </si>
  <si>
    <t>Analyse data to assess the status of the stock</t>
  </si>
  <si>
    <t>Analysis of data</t>
  </si>
  <si>
    <t>Stock assessment</t>
  </si>
  <si>
    <t>Reef report cards</t>
  </si>
  <si>
    <t>Identify improvements</t>
  </si>
  <si>
    <t>Respond to stakeholder requests for information</t>
  </si>
  <si>
    <t>Response</t>
  </si>
  <si>
    <t>Collect data using fisheries dependent and independent sources</t>
  </si>
  <si>
    <t>Summary of Industry perspectives relevant to stock assessment</t>
  </si>
  <si>
    <t>Annual report with prioritised list of improvements for fisheries stock assessment</t>
  </si>
  <si>
    <t>Trial of data loggers for the Rock Lobster Fishery to commence in November*</t>
  </si>
  <si>
    <t>In consultation with industry and external contractor, develop a data visualisation project</t>
  </si>
  <si>
    <t>Contractor presents prototype of interactive web-based stock assessment report at RLRAG meeting in 2017</t>
  </si>
  <si>
    <t>Acknowledge all requests within 5 business days of receipt including providing date for completion.</t>
  </si>
  <si>
    <t>Annual report with prioritised list of improvements for fisheries stock assessment and meeting to discuss results</t>
  </si>
  <si>
    <t>Support for research done on urchins</t>
  </si>
  <si>
    <t>Advice and analysis</t>
  </si>
  <si>
    <t>Peer review of fishery independent survey sites</t>
  </si>
  <si>
    <t>Coordinate review of information and anaylsis used to determine stock status andconsultation with stakeholders</t>
  </si>
  <si>
    <t>Stock assessment meeting with industry to discuss outcomes</t>
  </si>
  <si>
    <t>Peer reviewed stock assessment report and invitations to stakeholders to attend TACC setting workshop provided to industry</t>
  </si>
  <si>
    <t>Support for consultation activities
-Logistics
-Contract management</t>
  </si>
  <si>
    <t>TACC workshop held in agreed locations in the Eastern Zone</t>
  </si>
  <si>
    <t>Two-week statutory consultation process by post following TACC workshop</t>
  </si>
  <si>
    <t>Prepare and submit supporting information for decision-making on catch limits and management controls</t>
  </si>
  <si>
    <t>Further Quota Order and Fisheries Notice (if required)</t>
  </si>
  <si>
    <t>Notify stakeholders of decisions</t>
  </si>
  <si>
    <t>Response to submissions</t>
  </si>
  <si>
    <t>Acknowledge all requests for information within five days of receipt including providing a date for completion</t>
  </si>
  <si>
    <t>Meetings and or contact between DEDJTR fishery manager and nominated fishery stakeolder(s)</t>
  </si>
  <si>
    <t>Progress report</t>
  </si>
  <si>
    <t>Abalone fishery management plan actions</t>
  </si>
  <si>
    <t>Results provided to fisheries managers within 4 weeks of request or as part of scheduled stock assessments.</t>
  </si>
  <si>
    <t>Results provided to fisheries managers within 4 weeks of request or scheduled stock assessment.</t>
  </si>
  <si>
    <t>Species/fishery specific surveys, projects and assessment. Includes science on biological parameters of species where specifically related to the assessment of sustainable take e.g. aging.  Does not include commercial catch and effort collection.</t>
  </si>
  <si>
    <t>Statutory consultation documents sent to stakeholders</t>
  </si>
  <si>
    <t>Administration of abalone quota accounting at diver level (ie monitoring and adjustment of quota balances via in-person reporting and IVR, and other support services) for the Central Zone.</t>
  </si>
  <si>
    <t>Administration of abalone quota accounting at diver level (ie monitoring and adjustment of quota balances via in-person reporting and IVR, and other support services) for the Western Zone.</t>
  </si>
  <si>
    <t>All quota balances adjusted within 24 hrs of receipt of documentation.</t>
  </si>
  <si>
    <t>Administration of fisheries quota accounting (Monitoring and adjustment of quota balances via in-person reporting and IVR).</t>
  </si>
  <si>
    <t>Number of inspections for the Western Zone reported annually</t>
  </si>
  <si>
    <t>Number of inspections for the Central Zone reported annually</t>
  </si>
  <si>
    <t>Number of inspections for the Eastern Zone reported annually</t>
  </si>
  <si>
    <t>Quota balances adjusted within 24 hrs of receipt of required documentation.</t>
  </si>
  <si>
    <t>Data entered in to FILS within 5 working days of receipt of required documentation.</t>
  </si>
  <si>
    <t>Catch reports and Quota statements supplied to quota holders within 2 working days of the request.</t>
  </si>
  <si>
    <t>Monthly catch and statistics reports provided to management within 5 working days of the end of the month.</t>
  </si>
  <si>
    <t>Bin Tags, Abalone Docket books, pre-paid envelopes, etc. despatched to divers within 2 working days of request (when supplies on hand).</t>
  </si>
  <si>
    <t>Duty officer provided 24 hours per day</t>
  </si>
  <si>
    <t>Two-week statutory consultation process</t>
  </si>
  <si>
    <t>Provision of Duty Officer 24 hours per day.</t>
  </si>
  <si>
    <t>Duty Officer available 24 hours per day</t>
  </si>
  <si>
    <t>Monitoring and adjustment of quota  (follow up on over quota, incomplete reports, and receive calls from fishers when they experience difficulties with reporting).</t>
  </si>
  <si>
    <t>Stock assessment to inform TACC-setting</t>
  </si>
  <si>
    <t>No research services will be provided to the Scallop (Ocean) fishery until further notice</t>
  </si>
  <si>
    <t>It has been agreed that no research services will be provided to the Sea Urchin fishery until further notice</t>
  </si>
  <si>
    <t>It has been agreed that no TACC forums will be held with  the Sea Urchin fishery until further notice</t>
  </si>
  <si>
    <t>[Status]</t>
  </si>
  <si>
    <t>On track</t>
  </si>
  <si>
    <t>Strategic</t>
  </si>
  <si>
    <t>Operational</t>
  </si>
  <si>
    <t>Type</t>
  </si>
  <si>
    <t>Measure</t>
  </si>
  <si>
    <t>Comment</t>
  </si>
  <si>
    <t>Inspections are undertaken at any time in any location to ensure the level of compliance is proven to be at an acceptable level.</t>
  </si>
  <si>
    <t>No. of inspections planned and complete in final report</t>
  </si>
  <si>
    <t>List of offences and no. of times occurred in final report</t>
  </si>
  <si>
    <t xml:space="preserve">Comment to include general offence description eg mis-reporting </t>
  </si>
  <si>
    <t>This leads to maximising voluntary compliance, and creates a deterrent effect.</t>
  </si>
  <si>
    <t>No. of entries
No. timeframe met &amp; not met</t>
  </si>
  <si>
    <t>No. of requests received
Source of each request</t>
  </si>
  <si>
    <t>Meeting no. &amp; date listed
Date agenda/paper circulated</t>
  </si>
  <si>
    <t>Date Minutes circulated &amp; published</t>
  </si>
  <si>
    <t>NIL</t>
  </si>
  <si>
    <t>Using intelligence, targeted inspections conducted to detect and deter non-compliance with legislation.</t>
  </si>
  <si>
    <t>Comment to include reason if non-delivery eg low activity in the fishery</t>
  </si>
  <si>
    <t>No. of requests
No. timeframe met
No. timeframe not met</t>
  </si>
  <si>
    <t>Comments</t>
  </si>
  <si>
    <t xml:space="preserve">Inspections are undertaken at any time in any location to ensure compliance.  This involves: 
- Enforcement of size limits.
- Enforcement of take-area reporting.
- Enforcement of take when allocated quota holding is reached.
</t>
  </si>
  <si>
    <t xml:space="preserve">Using intelligence, targeted inspections conducted:
-        at sea, 
-        on land and,
-        at processor.
</t>
  </si>
  <si>
    <t>Coordinate review of information and analysis used to determine stock status in consultation with stakeholders</t>
  </si>
  <si>
    <t>Stock assessment meeting with industry/RAG to discuss draft</t>
  </si>
  <si>
    <t xml:space="preserve">Coordinate peer review of draft stock assessment </t>
  </si>
  <si>
    <t>Peer reviewed stock assessment</t>
  </si>
  <si>
    <t>Support for consultation activities
- Logistics
- Contract management</t>
  </si>
  <si>
    <t>Preparation of material for stakeholder consultation on catch limits and management controls</t>
  </si>
  <si>
    <t>Preparation of supporting information for decision-making on catch limits and management controls</t>
  </si>
  <si>
    <t>Proactively engage with stakeholders and manage relationships to foster improved collaborative approach to management and progress agreed initiatives</t>
  </si>
  <si>
    <t>Meetings and/or contact between DEDJTR Fishery Manager and nominated fishery stakeholder(s)</t>
  </si>
  <si>
    <t>Response to requests for information including stock assessment results.</t>
  </si>
  <si>
    <t>Manage the Rock Lobster and Giant Crab Resource Assessment Group (RLRAG)</t>
  </si>
  <si>
    <t>The RLRAG reviews stock assessments and approaches to managing the rock lobster fishery</t>
  </si>
  <si>
    <t>The RLRAG undertakes its work in accordance with the agreed work plan</t>
  </si>
  <si>
    <t>Manage the IMAS rock lobster and giant crab science contract</t>
  </si>
  <si>
    <t>Contract deliverables are completed in accordance with the agreed schedule</t>
  </si>
  <si>
    <t>Trial of data loggers for the Rock Lobster Fishery</t>
  </si>
  <si>
    <t>Operation of the C&amp;E Unit (Monitoring receipt of C&amp;E returns; entering of details in the database; checking accuracy; printing C&amp;E reports as required)</t>
  </si>
  <si>
    <t>All requests for rock lobster data provided within 5 working days.</t>
  </si>
  <si>
    <t>All quota balances adjusted within 24 hours of receipt of documentation.</t>
  </si>
  <si>
    <t>Monitoring and adjustment of quota  (follow up on over quota, incomplete reports, and receive calls from fishers when they experience difficulties with IVR)</t>
  </si>
  <si>
    <t>Further Quota Order</t>
  </si>
  <si>
    <t>TACC workshop held in agreed locations in the Western Zone</t>
  </si>
  <si>
    <t>Collect data using fisheries dependent sources</t>
  </si>
  <si>
    <t xml:space="preserve">Inspections are undertaken at any time in any location to ensure compliance.  This involves: 
-        Enforcement of size limits.
-        Enforcement of take-area reporting.
-        Enforcement of take when allocated quota holding is reached.
</t>
  </si>
  <si>
    <t>Minimum two-week statutory consultation process</t>
  </si>
  <si>
    <t>Statutory consultation undertaken at least 30 days prior to the end of the fishing season.</t>
  </si>
  <si>
    <r>
      <t xml:space="preserve">Further Quota Orders and, if required, Fisheries Notices published in the </t>
    </r>
    <r>
      <rPr>
        <i/>
        <sz val="10"/>
        <color theme="1"/>
        <rFont val="Arial"/>
        <family val="2"/>
      </rPr>
      <t>Victoria Government Gazette</t>
    </r>
  </si>
  <si>
    <t>Port visits at which management of the fishery, stock assessment results, and issues arising will be discussed with industry</t>
  </si>
  <si>
    <t>Periodic meetings and/or contact between DEDJTR staff and nominated fishery stakeholder(s) as required</t>
  </si>
  <si>
    <t>Supply documentation to licence holders and operators throughout the season (CDR books, coff register books, quota statements)</t>
  </si>
  <si>
    <t xml:space="preserve">Send out new documentation to licence holders at completion of licence renewal. </t>
  </si>
  <si>
    <t>Process quota transfers and provide clearance to commercial licensing for licence variations (operators, coffs etc)</t>
  </si>
  <si>
    <t>Assist compliance officers by providing reports and information, also prepare documentation of court procedures.</t>
  </si>
  <si>
    <t>Using intelligence targeted inspections conducted at fish receiver premises to maintain the integrity of the quota management system.</t>
  </si>
  <si>
    <t>Periodic meetings and or contact between DEDJTR staff and nominated fishery stakeholder(s) as required</t>
  </si>
  <si>
    <t>Increase confidence in data being used for statutory decision-making.</t>
  </si>
  <si>
    <t>Coordinate review of information and anaylsis used to determine stock status and consultation with stakeholders</t>
  </si>
  <si>
    <t>Duty officer provided 24 hours per day.</t>
  </si>
  <si>
    <t xml:space="preserve"> </t>
  </si>
  <si>
    <t>1. Fisheries Management Services</t>
  </si>
  <si>
    <t>2. Compliance Services</t>
  </si>
  <si>
    <t>4. Administration Services</t>
  </si>
  <si>
    <t>4.1 Licence Administration Services</t>
  </si>
  <si>
    <t>4.2 Cost Recovery Administration Services</t>
  </si>
  <si>
    <t>4.1.1 Commercial Catch and Effort</t>
  </si>
  <si>
    <t>4.2.1 Cost recovery administration</t>
  </si>
  <si>
    <t>2.1 Inspections of licenced or authorised commercial fishers</t>
  </si>
  <si>
    <t>1.1 Operational Management of fisheries</t>
  </si>
  <si>
    <t>4.1 Licence Administration</t>
  </si>
  <si>
    <t>4.1.1 Quota catch recording services</t>
  </si>
  <si>
    <t>4.2 Cost Recovery Administration</t>
  </si>
  <si>
    <t>3. Research Services</t>
  </si>
  <si>
    <t>3.1 Data collection, monitoring, analysis and advice to support fisheries management decision making.</t>
  </si>
  <si>
    <t>1.Fisheries Management Services</t>
  </si>
  <si>
    <t>1.1 Setting quota and harvest limits</t>
  </si>
  <si>
    <t>1.2 Operational management</t>
  </si>
  <si>
    <t>3.1 Data collection, monitoring, analysis and advice to support fisheries management decision making</t>
  </si>
  <si>
    <t>4.1.1 Quota catch recording and administration services</t>
  </si>
  <si>
    <t>4.1.2 Quota catch recording services</t>
  </si>
  <si>
    <t>3.2 Key initiatives</t>
  </si>
  <si>
    <t>3.3 Operational Management</t>
  </si>
  <si>
    <t>1.1 Set Catch Limits and Management Controls</t>
  </si>
  <si>
    <t>1.2 Operational Management</t>
  </si>
  <si>
    <t>1.3 Key Initiatives</t>
  </si>
  <si>
    <t>Monitoring and adjustment of quota  (follow up on over quota, incomplete reports, and receive calls from fishers when they experience difficulties with IVR).</t>
  </si>
  <si>
    <t>3.2 Support key initiatives</t>
  </si>
  <si>
    <t>Acknowledge all requests for information within five days of receipt including a date for completion</t>
  </si>
  <si>
    <r>
      <rPr>
        <b/>
        <sz val="10"/>
        <color theme="1"/>
        <rFont val="Arial"/>
        <family val="2"/>
      </rPr>
      <t>Receivers (Processors)</t>
    </r>
    <r>
      <rPr>
        <sz val="10"/>
        <color theme="1"/>
        <rFont val="Arial"/>
        <family val="2"/>
      </rPr>
      <t xml:space="preserve">
Administration of abalone balances at the processor level (i.e. monitoring and adjustment of quota balances, and other support services).</t>
    </r>
  </si>
  <si>
    <t xml:space="preserve">All monitoring and adjustment of abalone balances (incoming and outgoing) completed within 24 hrs of receipt of documentation. 
</t>
  </si>
  <si>
    <t>Confirmation of WEB information on Abalone Transfer Certificates (ATC’s), and data entered into FILS within 5 working days of receipt of required documentation.</t>
  </si>
  <si>
    <t xml:space="preserve">Receivers informed of ATC discrepancies in writing, and FILS updated with written requested changes within 5 working days of receiving required documentation. </t>
  </si>
  <si>
    <t>Orders and supplies e.g. ATC books, Small Sales Return books, pre-paid envelopes (sent via registered post or express mail) completed with 2 working days of request.</t>
  </si>
  <si>
    <t>Applications (e.g. Fish Receiver applications) processed within 5 working days within receipt of required documents (Trader Number Requests responded to within 24 hours).</t>
  </si>
  <si>
    <t xml:space="preserve">Abalone balances completed within 24hrs of receipt of documentation
</t>
  </si>
  <si>
    <t>FILS updated within 5 working days.</t>
  </si>
  <si>
    <t>Discrepancies notified within 5 working days.</t>
  </si>
  <si>
    <t>Orders competed within 5 working days.</t>
  </si>
  <si>
    <t>Applications processed within 5 working days.</t>
  </si>
  <si>
    <t>All requests for the Sydenham Inlet (Bait) Fishery data provided within 5 working days.</t>
  </si>
  <si>
    <t>All requests for the Westernport/Port Phillip Bay Fishery data provided within 5 working days.</t>
  </si>
  <si>
    <t>All requests for the Trawl (Inshore) Fishery data provided within 5 working days.</t>
  </si>
  <si>
    <t>All requests for the Purse Seine (Ocean) Fishery data provided within 5 working days.</t>
  </si>
  <si>
    <t>All requests for the Ocean Fishery data provided within 5 working days.</t>
  </si>
  <si>
    <t>All requests for the Gippsland Lakes Fishery data provided within 5 working days.</t>
  </si>
  <si>
    <t>All requests for the Wrasse Fishery data provided within 5 working days.</t>
  </si>
  <si>
    <t>1.1 Set catch limits and management controls</t>
  </si>
  <si>
    <t>TACC workshop held in agreed locations in the Central Zone</t>
  </si>
  <si>
    <t>Agenda and papers circulated 2 weeks before meetings.</t>
  </si>
  <si>
    <t>Minutes circulated within 7 working days of meetings.</t>
  </si>
  <si>
    <t>Number of inspections for Scallop Dive (Port Phillip Bay) reported annually</t>
  </si>
  <si>
    <t>Number of inspections for Fish Receiver (Abalone) reported annually</t>
  </si>
  <si>
    <t>Number of inspections for Eels reported annually</t>
  </si>
  <si>
    <t>Number of inspections for Eastern Zone Rock Lobster reported annually</t>
  </si>
  <si>
    <t>Number of inspections for Western Zone Rock Lobster reported annually</t>
  </si>
  <si>
    <t>Number of inspections for Giant Crab reported annually</t>
  </si>
  <si>
    <t>Number of inspections for Corner Inlet reported annually</t>
  </si>
  <si>
    <t>Number of inspections for Purse Seine (Ocean) reported annually</t>
  </si>
  <si>
    <t>Number of inspections for Trawl (Inshore) reported annually</t>
  </si>
  <si>
    <t>Number of inspections for Westernport/Port Phillip Bay reported annually</t>
  </si>
  <si>
    <t>Number of inspections for Bait (General) reported annually</t>
  </si>
  <si>
    <t>Number of inspections for Bait (Gippsland Lakes) reported annually</t>
  </si>
  <si>
    <t>Number of inspections for Bait (Gippsland Lakes Mussel Dive) reported annually</t>
  </si>
  <si>
    <t>Number of inspections for Bait (Lake Tyers) reported annually</t>
  </si>
  <si>
    <t>Number of inspections for Bait (Mallacoota Lower Lake) reported annually</t>
  </si>
  <si>
    <t>Number of inspections for Bait (Sydenham Inlet) reported annually</t>
  </si>
  <si>
    <t>Number of inspections for Bait (Snowy River) reported annually</t>
  </si>
  <si>
    <t>Commercial Catch and Effort</t>
  </si>
  <si>
    <t>All requests for Eel Fishery data provided within 5 working days.</t>
  </si>
  <si>
    <t>All requests for the Snowy River (Bait) Fishery data provided within 5 working days.</t>
  </si>
  <si>
    <t xml:space="preserve">4.1.1 Quota catch recording services </t>
  </si>
  <si>
    <t>Preparation of material for stakeholder consultation on catch limits and management contrls</t>
  </si>
  <si>
    <t>All requests for the Scallop (Ocean) Fishery data provided within 5 working days.</t>
  </si>
  <si>
    <t>Number of  Licences = 9</t>
  </si>
  <si>
    <t>Periodic meetings and or contact between DEDJTR staff and nominated fishery stakeholder(s) as required, including the harvest strategy/FRAG.</t>
  </si>
  <si>
    <t>TACC workshop held in agreed location in the Western Zone</t>
  </si>
  <si>
    <t>Preperation of material for stakeholder consultation on catch limits and management controls</t>
  </si>
  <si>
    <t>Periodic meetings and or contact between DEDJTR staff and nominated fishery stakeholder(s) as required.</t>
  </si>
  <si>
    <t>Meetings and or contact between DEDJTR fishery manager and nominated fishery stakeholder(s)</t>
  </si>
  <si>
    <t>All requests for the Bait (Mallacoota Lower Lake) Fishery data provided within 5 working days.</t>
  </si>
  <si>
    <t>All requests for the Bait (Lake Tyers) Fishery data provided within 5 working days.</t>
  </si>
  <si>
    <t>All requests for the Bait (Gippsland Lakes Mussel Dive) Fishery data provided within 5 working days.</t>
  </si>
  <si>
    <t>All requests for the Bait (Gippsland Lakes) Fishery data provided within 5 working days.</t>
  </si>
  <si>
    <t>All requests for the Bait (General) Fishery data provided within 5 working days.</t>
  </si>
  <si>
    <t>Number of inspections for Ocean Fishery reported annually</t>
  </si>
  <si>
    <t>Number of inspections for Gippsland Lakes fishery reported annually</t>
  </si>
  <si>
    <t>Number of inspections for the Wrasse fishery reported annually</t>
  </si>
  <si>
    <t>Number of inspections for the Sea Urchin fishery reported annually</t>
  </si>
  <si>
    <t>Number of inspections for Scallop (Ocean) reported annually</t>
  </si>
  <si>
    <t>In consultation with industry, develop an approach to using data loggers in the Rock Lobster Fishery</t>
  </si>
  <si>
    <t>Proactively engage with stakeholders and manage relaionships to foster improved collaborative approach to management and progress agreed initiatives</t>
  </si>
  <si>
    <t>3.1 Data collection, monitoring, analysis &amp; advice to support fisheries management decision making</t>
  </si>
  <si>
    <t>Proactively engage with stakeholders. Manage relationships to foster improved collaborative approach to management &amp; progress agreed initiatives</t>
  </si>
  <si>
    <t>Prepare &amp; submit supporting information for decision-making on catch limits &amp; management controls</t>
  </si>
  <si>
    <t>Administration of fisheries quota accounting (Monitoring &amp; adjustment of quota balances via in-person reporting &amp; IVR).</t>
  </si>
  <si>
    <t>4.1.1 Quota catch recording &amp; administration services</t>
  </si>
  <si>
    <r>
      <rPr>
        <sz val="10"/>
        <color theme="1"/>
        <rFont val="Arial"/>
        <family val="2"/>
      </rPr>
      <t>TACC workshop held</t>
    </r>
    <r>
      <rPr>
        <b/>
        <sz val="10"/>
        <color theme="1"/>
        <rFont val="Arial"/>
        <family val="2"/>
      </rPr>
      <t xml:space="preserve">
</t>
    </r>
  </si>
  <si>
    <t xml:space="preserve">Statutory consultation documents sent to stakeholders
</t>
  </si>
  <si>
    <t>Periodic meetings and or contact between DEDJTR staff and nominated fishery stakeholder(s) as required, including the Abalone Working Group.</t>
  </si>
  <si>
    <t>The RLRAG reviews stock assessments and approaches to managing the giant crab fishery</t>
  </si>
  <si>
    <t>anage the IMAS rock lobster and giant crab science contract is managed in accordance with government procurement policy</t>
  </si>
  <si>
    <t>Version 2017/18.2</t>
  </si>
  <si>
    <t>Number of licences =36</t>
  </si>
  <si>
    <t>Number of quota units =1000</t>
  </si>
  <si>
    <t>Number of licences =71</t>
  </si>
  <si>
    <t>Number of quota units = 3633</t>
  </si>
  <si>
    <t>Number of quota units = 500</t>
  </si>
  <si>
    <t>Number of Licences = 1</t>
  </si>
  <si>
    <t>Number of Licences = 10</t>
  </si>
  <si>
    <t>Number of Licences = 9</t>
  </si>
  <si>
    <t>Number of Licences = 2</t>
  </si>
  <si>
    <t xml:space="preserve">No. of Licences = 18 </t>
  </si>
  <si>
    <t>2. Compliance</t>
  </si>
  <si>
    <t>Total after Small Operator concession</t>
  </si>
  <si>
    <t>Complete and deliver report by 1 May 2018 with meeting to discuss held on/before 1 June 2018</t>
  </si>
  <si>
    <t>Annual report on activities delivered by 30 June 2018</t>
  </si>
  <si>
    <t>Further Quota Order and Fisheries Notice gazetted &amp; notifications/ responses to submissions sent before 30 March 2018.</t>
  </si>
  <si>
    <t xml:space="preserve">Further Quota Order  gazetted and notifications/ responses to submissions sent before 30 June 2018.
</t>
  </si>
  <si>
    <t>The outcome of this activity maintains or raises a risk perception in the mind of any commercial fisher who is contemplating committing an offence. This leads to maximising voluntary compliance, and creates a deterrent effect.</t>
  </si>
  <si>
    <t>Coordinate review of information and analysis used to determine stock status and consultation with stakeholders</t>
  </si>
  <si>
    <t>Schedule meetings are held as agreed with industry and VFA.</t>
  </si>
  <si>
    <t>Regular meetings at which management of the fishery, stock assessment results, and issues arising will be discussed with industry.</t>
  </si>
  <si>
    <t>Prototype of new model due for testing in 2018.</t>
  </si>
  <si>
    <t>Trial of data loggers and wet tags implemented and anlysed for future utility by June 2018.</t>
  </si>
  <si>
    <t>A  funding agreement between SRL &amp; VFA is established and funded through cost recovery levies</t>
  </si>
  <si>
    <t>Attendance and active participation in all SRL meetings</t>
  </si>
  <si>
    <t>Scheduled meetings are held as agreed with industry and VFA.</t>
  </si>
  <si>
    <t>Trail of data loggers and wet tags implemented and analysed for future utility by June 2018.</t>
  </si>
  <si>
    <t>Update FTE</t>
  </si>
  <si>
    <t>Update operating</t>
  </si>
  <si>
    <t>Update costs</t>
  </si>
  <si>
    <t>Update dates</t>
  </si>
  <si>
    <t>Complete SIV comments where possible or re-direct where required</t>
  </si>
  <si>
    <t>Check licence numbers</t>
  </si>
  <si>
    <t>Version 2018/19.1</t>
  </si>
  <si>
    <t>Management meeting with stakeholders by 31 Mar 2019.</t>
  </si>
  <si>
    <t>Management meets with stakeholders by 31 Mar 2019.</t>
  </si>
  <si>
    <t>Management meets with stakeholders by 31 Mar 2019</t>
  </si>
  <si>
    <t>No services to be provided for 2018-19</t>
  </si>
  <si>
    <t xml:space="preserve">Inspections are undertaken at any time in any location to ensure compliance.  This involves: 
-      Enforcement of size limits at the reef code level where there is clear differentiation between reefs (1 by regulation).
-      Enforcement of take-area reporting.
-      Enforcement of take when zonal or allocated quota is reached.
</t>
  </si>
  <si>
    <t>Monitoring &amp; adjustment of quota  (follow up on over quota, incomplete reports, calls from fishers expereincing reporting difficulties).</t>
  </si>
  <si>
    <t>Fisheries to be completed</t>
  </si>
  <si>
    <t>Abalone CZ</t>
  </si>
  <si>
    <t>Abalone EZ</t>
  </si>
  <si>
    <t>Abalone WZ</t>
  </si>
  <si>
    <t>Giant Crab</t>
  </si>
  <si>
    <t>RLEZ</t>
  </si>
  <si>
    <t>RLWZ</t>
  </si>
  <si>
    <t>Scallop ocean</t>
  </si>
  <si>
    <t>Wrasse</t>
  </si>
  <si>
    <t>Sea Urchin</t>
  </si>
  <si>
    <t>Mallacoota</t>
  </si>
  <si>
    <t>Snowy</t>
  </si>
  <si>
    <t>Sydenham</t>
  </si>
  <si>
    <t>GL Bait</t>
  </si>
  <si>
    <t>WPPPB</t>
  </si>
  <si>
    <t>Corner Inlet</t>
  </si>
  <si>
    <t>All aquaculture</t>
  </si>
  <si>
    <t>Complete</t>
  </si>
  <si>
    <t>Bait general</t>
  </si>
  <si>
    <t>GL mussel</t>
  </si>
  <si>
    <t>PPB mussel</t>
  </si>
  <si>
    <t>Scallop dive</t>
  </si>
  <si>
    <t>FR abalone</t>
  </si>
  <si>
    <t>FR scallop</t>
  </si>
  <si>
    <t>Ocean</t>
  </si>
  <si>
    <t>Purse Seine</t>
  </si>
  <si>
    <t>Proactively engage with stakeholders and manage relationships to progress actions of the Victorian Eel Fishery Management Plan 2017..</t>
  </si>
  <si>
    <t>SIV liaison - update all</t>
  </si>
  <si>
    <t>Liaise with Seafood Industry Victoria twice per year to identify stakeholder issues, maintain an issues log and follow up on issues.</t>
  </si>
  <si>
    <t>TACC workshop held by 20 January 2018</t>
  </si>
  <si>
    <t>Complete Reef Report Cards by 15 November 2018</t>
  </si>
  <si>
    <t>Draft stock assessment provided to Fisheries Manager by 7 November 2018</t>
  </si>
  <si>
    <t>Complete analysis of fishery independent and dependent data trends by 30 October 2018</t>
  </si>
  <si>
    <t>Review provided to industry and FV by 24 October 2018 and consequent actions taken as agreed at Abalone Working Group.</t>
  </si>
  <si>
    <t>Version 2018/19.2</t>
  </si>
  <si>
    <t>Management meeting with stakeholders by 31 Mar 2019*.</t>
  </si>
  <si>
    <t xml:space="preserve">* Meetings are not fishery specific and may include several licence classes. Meetings are voluntary and non-attendance does not equate to non-delivery. </t>
  </si>
  <si>
    <t>LT Bait</t>
  </si>
  <si>
    <t>Number of Licences = 22</t>
  </si>
  <si>
    <t>Further changes as transferability is implemented.</t>
  </si>
  <si>
    <t>Management meets with stakeholders by 31 Mar 2019*.</t>
  </si>
  <si>
    <t>Statutory consultation documents sent to stakeholders by 15 June 2019.</t>
  </si>
  <si>
    <t>Further Quota Order and Fisheries Notice gazetted and notifications/ responses to submissions sent before 30 June 2019.</t>
  </si>
  <si>
    <t>Further Quota Order and Fisheries Notice gazetted and notifications/ responses to submissions sent before 30 March 2019.</t>
  </si>
  <si>
    <t>Statutory consultation documents sent to stakeholders by 15 February 2019.</t>
  </si>
  <si>
    <t>Inshore trawl</t>
  </si>
  <si>
    <t>Number of licences =14</t>
  </si>
  <si>
    <t xml:space="preserve">NB All costs have risen slightly due to a reduction in licence numbers. This has not been reflected in levies for 2018/19 but will be reflcetd from 2019/20 onwards. </t>
  </si>
  <si>
    <t>Reviewed by RLRAG</t>
  </si>
  <si>
    <t>Coordinate peer review of draft stock assessment every 4 years</t>
  </si>
  <si>
    <t>Peer review stock assessment report delivered to stakeholders 10 days in advance of TACC workshop.</t>
  </si>
  <si>
    <t>Complete FV data collection by 1 August 2018 Clean, collated data to industry &amp; management by 31 March</t>
  </si>
  <si>
    <t>Complete an audit (QA/QC report) on fishery dependent and independent data 20 days before TACC workshop</t>
  </si>
  <si>
    <t>Annual reporting of catch and effort data and Stock Status for key species, including 2017-18 CPUE data.</t>
  </si>
  <si>
    <t>**Stakeholder requests may be responded to by fisheries management, science, compliance and/or administration. This activity has been noted under Fisheries Management for simplification.</t>
  </si>
  <si>
    <t>Preparation of material for stakeholder consultation and logistics for organising meetings*.</t>
  </si>
  <si>
    <t>Respond to stakeholder requests for information**.</t>
  </si>
  <si>
    <t>Meeting/consultation with stakeholders on the management response to stock status report.</t>
  </si>
  <si>
    <t>No further research is planned for this fishery.</t>
  </si>
  <si>
    <t>Feasibility study for collection of fishery wide data through issue of research quota</t>
  </si>
  <si>
    <t xml:space="preserve">Feasibility report delivered by 30 June 2019 </t>
  </si>
  <si>
    <t xml:space="preserve">Conduct port meetings and/or other agreed to meetings, including those necessary to develop a harvest strategy for the fishery  </t>
  </si>
  <si>
    <t>3.2 Operational Management</t>
  </si>
  <si>
    <t>RLRAG meeting held in December 2018 to discuss preliminary stock assessment report</t>
  </si>
  <si>
    <t>Stock assessment delivered to stakeholders in March 2019</t>
  </si>
  <si>
    <t>Receive industry data by 18 October 2018</t>
  </si>
  <si>
    <t>Complete an audit on fishery dependent and independent data by 1 November 2018</t>
  </si>
  <si>
    <t>Complete analysis of fishery independent and dependent data trends by 1 December 2018</t>
  </si>
  <si>
    <t>Draft stock assessment provided to Fisheries Manager by 1 December 2018</t>
  </si>
  <si>
    <t>Complete and deliver report by 1 December 2018</t>
  </si>
  <si>
    <t>RLRAG meeting held in December 2018 to discuss preliminary stock assessment report.</t>
  </si>
  <si>
    <t>Rock lobster tagging project</t>
  </si>
  <si>
    <t>Progress report.</t>
  </si>
  <si>
    <t>Prepare and provide management advice to the CEO Victorian Fisheries Authority for decision-making.</t>
  </si>
  <si>
    <t>Prepare and provide management advice to the CEO, VFA for decision-making.</t>
  </si>
  <si>
    <t>Complete VFA data collection by 16 September 2018</t>
  </si>
  <si>
    <t>Complete an audit on fishery dependent data by 1 November 2018</t>
  </si>
  <si>
    <t>Complete analysis of fishery dependent data by 1 December 2018</t>
  </si>
  <si>
    <t>Facilitate on behalf of industry, a Funding Agreement between Southern Rock Lobster Limited (SRL) &amp; VFA</t>
  </si>
  <si>
    <t>TACC workshop held by 7 December 2018</t>
  </si>
  <si>
    <t>Further Quota Order and Fisheries Notice gazetted and notifications/ responses to submissions sent by 30 March 2019.</t>
  </si>
  <si>
    <t xml:space="preserve">Complete VFA data collection by 1 August 2018 </t>
  </si>
  <si>
    <t>Receive industry data by 1 October 2018</t>
  </si>
  <si>
    <t>Complete an audit on fishery dependent and independent data by 15 October 2018</t>
  </si>
  <si>
    <t>TACC workshop held by 15 December 2018</t>
  </si>
  <si>
    <t xml:space="preserve">Complete Fisheries data collection by 1 August 2018 </t>
  </si>
  <si>
    <t>RLRAG meeting held in December 2018 to discuss preliminary stock assessment report*</t>
  </si>
  <si>
    <t>Stock assessment delivered to stakeholders by 31 March 2019*</t>
  </si>
  <si>
    <r>
      <t xml:space="preserve">Further Quota Orders and, if required, Fisheries Notices published in the </t>
    </r>
    <r>
      <rPr>
        <i/>
        <sz val="10"/>
        <color theme="1"/>
        <rFont val="Arial"/>
        <family val="2"/>
      </rPr>
      <t>Victoria Government Gazette</t>
    </r>
    <r>
      <rPr>
        <sz val="10"/>
        <color theme="1"/>
        <rFont val="Arial"/>
        <family val="2"/>
      </rPr>
      <t xml:space="preserve"> by 31 March 2019</t>
    </r>
  </si>
  <si>
    <r>
      <t>Stock assessment delivered to stakeholders in May 2018</t>
    </r>
    <r>
      <rPr>
        <vertAlign val="superscript"/>
        <sz val="10"/>
        <color theme="1"/>
        <rFont val="Arial"/>
        <family val="2"/>
      </rPr>
      <t>.</t>
    </r>
  </si>
  <si>
    <t>The dates for one service may follow on to another service in the following year,</t>
  </si>
  <si>
    <t>TOTAL^</t>
  </si>
  <si>
    <t>^Note total costs represent less than Small Operator Concession</t>
  </si>
  <si>
    <t>17-18 Levy ($)</t>
  </si>
  <si>
    <t>2017-18</t>
  </si>
  <si>
    <t>*Small operator concession applied</t>
  </si>
  <si>
    <t>Number of Licences in the Fishery = 10</t>
  </si>
  <si>
    <t>Number of Licences in the Fishery = 11</t>
  </si>
  <si>
    <t>10,048*</t>
  </si>
  <si>
    <t>Number of Licences = 19</t>
  </si>
  <si>
    <t>Number of Licences = 4</t>
  </si>
  <si>
    <t>Number of Licences = 173</t>
  </si>
  <si>
    <t>Number of licences = 90</t>
  </si>
  <si>
    <t>Number of licences = 9</t>
  </si>
  <si>
    <t>Number of Licences = 53</t>
  </si>
  <si>
    <t xml:space="preserve">**Stakeholder requests may be responded to by fisheries management, science, compliance and/or administration. </t>
  </si>
  <si>
    <t>This activity has been noted under Fisheries Management for simplification.</t>
  </si>
  <si>
    <t>*Note that incorrect levies were set in the 2017 Regulations and will be adjusted in the next round of amendments to commence 1 April 2019.</t>
  </si>
  <si>
    <t>$7564 per licence</t>
  </si>
  <si>
    <t>0.05 FTE</t>
  </si>
  <si>
    <t>0.1332 FTE</t>
  </si>
  <si>
    <t>OK</t>
  </si>
  <si>
    <t>Should be:</t>
  </si>
  <si>
    <t>Analyse data to assess the status of the stocks in the Bait (General) fishery.</t>
  </si>
  <si>
    <t>Annual stock status report provided to the fishery manager.</t>
  </si>
  <si>
    <t>TACC workshop held by 20 January 2019</t>
  </si>
  <si>
    <t>TACC workshop held by 20 January 2020</t>
  </si>
  <si>
    <t>TACC workshop held by 20 January 2021</t>
  </si>
  <si>
    <t>TACC workshop held by 20 January 2022</t>
  </si>
  <si>
    <t>TACC workshop held by 20 January 2023</t>
  </si>
  <si>
    <t>TACC workshop held by 20 January 2024</t>
  </si>
  <si>
    <t>TACC workshop held by 20 January 2025</t>
  </si>
  <si>
    <t>Annual report on activities delivered by 30 June 2019</t>
  </si>
  <si>
    <t>Annual report on activities delivered by 30 June 2020</t>
  </si>
  <si>
    <t>Annual report on activities delivered by 30 June 2021</t>
  </si>
  <si>
    <t>Annual report on activities delivered by 30 June 2022</t>
  </si>
  <si>
    <t>Annual report on activities delivered by 30 June 2023</t>
  </si>
  <si>
    <t>Annual report on activities delivered by 30 June 2024</t>
  </si>
  <si>
    <t>Annual report on activities delivered by 30 June 2025</t>
  </si>
  <si>
    <t>Complete analysis of fishery independent and dependent data trends by 30 October 2019</t>
  </si>
  <si>
    <t>Complete analysis of fishery independent and dependent data trends by 30 October 2020</t>
  </si>
  <si>
    <t>Complete analysis of fishery independent and dependent data trends by 30 October 2021</t>
  </si>
  <si>
    <t>Complete analysis of fishery independent and dependent data trends by 30 October 2022</t>
  </si>
  <si>
    <t>Complete analysis of fishery independent and dependent data trends by 30 October 2023</t>
  </si>
  <si>
    <t>Complete analysis of fishery independent and dependent data trends by 30 October 2024</t>
  </si>
  <si>
    <t>Complete analysis of fishery independent and dependent data trends by 30 October 2025</t>
  </si>
  <si>
    <t>Draft stock assessment provided to Fisheries Manager by 7 November 2019</t>
  </si>
  <si>
    <t>Draft stock assessment provided to Fisheries Manager by 7 November 2020</t>
  </si>
  <si>
    <t>Draft stock assessment provided to Fisheries Manager by 7 November 2021</t>
  </si>
  <si>
    <t>Draft stock assessment provided to Fisheries Manager by 7 November 2022</t>
  </si>
  <si>
    <t>Draft stock assessment provided to Fisheries Manager by 7 November 2023</t>
  </si>
  <si>
    <t>Draft stock assessment provided to Fisheries Manager by 7 November 2024</t>
  </si>
  <si>
    <t>Draft stock assessment provided to Fisheries Manager by 7 November 2025</t>
  </si>
  <si>
    <t>Complete Reef Report Cards by 15 November 2019</t>
  </si>
  <si>
    <t>Complete Reef Report Cards by 15 November 2020</t>
  </si>
  <si>
    <t>Complete Reef Report Cards by 15 November 2021</t>
  </si>
  <si>
    <t>Complete Reef Report Cards by 15 November 2022</t>
  </si>
  <si>
    <t>Complete Reef Report Cards by 15 November 2023</t>
  </si>
  <si>
    <t>Complete Reef Report Cards by 15 November 2024</t>
  </si>
  <si>
    <t>Complete Reef Report Cards by 15 November 2025</t>
  </si>
  <si>
    <t>Complete and deliver report by 1 May 2018 with meeting to discuss held on/before 1 June 2019</t>
  </si>
  <si>
    <t>Complete and deliver report by 1 May 2018 with meeting to discuss held on/before 1 June 2020</t>
  </si>
  <si>
    <t>Complete and deliver report by 1 May 2018 with meeting to discuss held on/before 1 June 2021</t>
  </si>
  <si>
    <t>Complete and deliver report by 1 May 2018 with meeting to discuss held on/before 1 June 2022</t>
  </si>
  <si>
    <t>Complete and deliver report by 1 May 2018 with meeting to discuss held on/before 1 June 2023</t>
  </si>
  <si>
    <t>Complete and deliver report by 1 May 2018 with meeting to discuss held on/before 1 June 2024</t>
  </si>
  <si>
    <t>Complete and deliver report by 1 May 2018 with meeting to discuss held on/before 1 June 2025</t>
  </si>
  <si>
    <t xml:space="preserve">Comment </t>
  </si>
  <si>
    <t>Issue</t>
  </si>
  <si>
    <t>At risk</t>
  </si>
  <si>
    <t>Completed</t>
  </si>
  <si>
    <t>Annual reporting of catch and effort data and Stock Status for key species, including CPUE data from the previous year.</t>
  </si>
  <si>
    <t>Analyse data to assess the status of the stocks in the Bait (Gippsland Lakes) fishery.</t>
  </si>
  <si>
    <t>Analyse data to assess the status of the stocks in the Bait (Lake Tyers) fishery.</t>
  </si>
  <si>
    <t>Analyse data to assess the status of the stocks in the Bait (Mallacoota Lower Lake) fishery.</t>
  </si>
  <si>
    <t>Analyse data to assess the status of the stocks in the Bait (Snowy River) fishery.</t>
  </si>
  <si>
    <t>Analyse data to assess the status of the stocks in the Bait (Sydenham Inlet) fishery.</t>
  </si>
  <si>
    <t>Analyse data to assess the status of the stocks in the Corner Inlet fishery.</t>
  </si>
  <si>
    <t>Analyse data to assess the status of the stocks in the Gippsland Lakes fishery.</t>
  </si>
  <si>
    <t>Analyse data to assess the status of the stocks in the Bait (PPB Mussel) fishery.</t>
  </si>
  <si>
    <t>Analyse data to assess the status of the stocks in the Ocean Access fishery.</t>
  </si>
  <si>
    <t>Analyse data to assess the status of the stocks in the Gippsland lakes Mussel Dive fishery.</t>
  </si>
  <si>
    <t>No services to be provided in 2018-19</t>
  </si>
  <si>
    <t>Analyse data to assess the status of the stocks in the Inshore Trawl fishery.</t>
  </si>
  <si>
    <t>Analyse data to assess the status of the stocks in the Wrasse fishery.</t>
  </si>
  <si>
    <t>Analyse data to assess the status of the stocks in the Westernport/PortPhillip Bay fishery.</t>
  </si>
  <si>
    <t>Complete and deliver report provided to the fishery manager by 31 Mar 2019.</t>
  </si>
  <si>
    <t>Annual stock status report provided to the fishery manager by 31 Mar 2019.</t>
  </si>
  <si>
    <t>Incorporate information provided by industry into assessment. Summary of key industry perspectives to be discussed at annual October RLRAG.</t>
  </si>
  <si>
    <t>12 returns processed</t>
  </si>
  <si>
    <t>eReporting</t>
  </si>
  <si>
    <t>approx. x 10 and completed within 24hrs</t>
  </si>
  <si>
    <t>approx. x 50 and completed within 5 days</t>
  </si>
  <si>
    <t>approx. x 23 orders and completed within time</t>
  </si>
  <si>
    <t>0 AR applications in the reporting period</t>
  </si>
  <si>
    <t>59 reports provided</t>
  </si>
  <si>
    <t>56 reports provided</t>
  </si>
  <si>
    <t>52 report provided</t>
  </si>
  <si>
    <t>53 reports provided</t>
  </si>
  <si>
    <t>52 reports provided</t>
  </si>
  <si>
    <t>63 reports provided</t>
  </si>
  <si>
    <t>65 reports provided</t>
  </si>
  <si>
    <t>76 reports provided</t>
  </si>
  <si>
    <t>51 reports provided</t>
  </si>
  <si>
    <t>65 reports provided (EZ &amp; WZ)</t>
  </si>
  <si>
    <t>55 reports provided</t>
  </si>
  <si>
    <t>64 reports provided</t>
  </si>
  <si>
    <t>139 returns processed, 2 overdue returns</t>
  </si>
  <si>
    <t>132 returns processed, 2 overdue returns</t>
  </si>
  <si>
    <t>13 returns processed</t>
  </si>
  <si>
    <t>24 returns processed</t>
  </si>
  <si>
    <t>221 returns processed, 5 overdue returns</t>
  </si>
  <si>
    <t>269 returns processed, 5 overdue returns</t>
  </si>
  <si>
    <t>1,904 returns processed, 42 overdue returns</t>
  </si>
  <si>
    <t>11 returns processed, 1 overdue return</t>
  </si>
  <si>
    <t>1,231 returns (EZ &amp; WZ) processed, 27 overdue returns</t>
  </si>
  <si>
    <t>1,043 returns processed, 27 overdue returns</t>
  </si>
  <si>
    <t>627 returns processed, 26 overdue returns</t>
  </si>
  <si>
    <t>110 returns processed</t>
  </si>
  <si>
    <t>263 returns processed, 1 overdue return</t>
  </si>
  <si>
    <t xml:space="preserve">FCRSC 49 was held on 12 Oct 2018 and FCRSC 50 on 5 Dec 2018. </t>
  </si>
  <si>
    <r>
      <rPr>
        <b/>
        <u/>
        <sz val="14"/>
        <rFont val="Arial"/>
        <family val="2"/>
      </rPr>
      <t>Abalone Central Zone Fisher</t>
    </r>
    <r>
      <rPr>
        <b/>
        <sz val="14"/>
        <rFont val="Arial"/>
        <family val="2"/>
      </rPr>
      <t>y - End-year Cost Recovery Report 2018-19</t>
    </r>
  </si>
  <si>
    <r>
      <rPr>
        <b/>
        <u/>
        <sz val="14"/>
        <rFont val="Arial"/>
        <family val="2"/>
      </rPr>
      <t>Abalone Eastern Zone Fisher</t>
    </r>
    <r>
      <rPr>
        <b/>
        <sz val="14"/>
        <rFont val="Arial"/>
        <family val="2"/>
      </rPr>
      <t>y - End-year Cost Recovery Report 2018-19</t>
    </r>
  </si>
  <si>
    <r>
      <rPr>
        <b/>
        <u/>
        <sz val="14"/>
        <rFont val="Arial"/>
        <family val="2"/>
      </rPr>
      <t>Abalone Western Zone Fisher</t>
    </r>
    <r>
      <rPr>
        <b/>
        <sz val="14"/>
        <rFont val="Arial"/>
        <family val="2"/>
      </rPr>
      <t>y - End-year Cost Recovery Report</t>
    </r>
  </si>
  <si>
    <r>
      <rPr>
        <b/>
        <u/>
        <sz val="14"/>
        <color theme="1"/>
        <rFont val="Arial"/>
        <family val="2"/>
      </rPr>
      <t>Bait (General) Fishery</t>
    </r>
    <r>
      <rPr>
        <b/>
        <sz val="14"/>
        <color theme="1"/>
        <rFont val="Arial"/>
        <family val="2"/>
      </rPr>
      <t xml:space="preserve"> – End-year Cost Recovery Report 2018-19</t>
    </r>
  </si>
  <si>
    <r>
      <rPr>
        <b/>
        <u/>
        <sz val="14"/>
        <rFont val="Arial"/>
        <family val="2"/>
      </rPr>
      <t>Gippsland Lakes Bait Fishery</t>
    </r>
    <r>
      <rPr>
        <b/>
        <sz val="14"/>
        <rFont val="Arial"/>
        <family val="2"/>
      </rPr>
      <t xml:space="preserve"> – End-year Cost Recovery Report 2018-19</t>
    </r>
  </si>
  <si>
    <r>
      <rPr>
        <b/>
        <u/>
        <sz val="14"/>
        <rFont val="Arial"/>
        <family val="2"/>
      </rPr>
      <t>Lake Tyers Bait Fishery</t>
    </r>
    <r>
      <rPr>
        <b/>
        <sz val="14"/>
        <rFont val="Arial"/>
        <family val="2"/>
      </rPr>
      <t xml:space="preserve"> – End-year Cost Recovery Report 2018-19</t>
    </r>
  </si>
  <si>
    <r>
      <rPr>
        <b/>
        <u/>
        <sz val="14"/>
        <rFont val="Arial"/>
        <family val="2"/>
      </rPr>
      <t>Mallacoota Lower Lake Bait Fisher</t>
    </r>
    <r>
      <rPr>
        <b/>
        <sz val="14"/>
        <rFont val="Arial"/>
        <family val="2"/>
      </rPr>
      <t>y – End-year Cost Recovery Report 2018-19</t>
    </r>
  </si>
  <si>
    <r>
      <rPr>
        <b/>
        <u/>
        <sz val="14"/>
        <rFont val="Arial"/>
        <family val="2"/>
      </rPr>
      <t>Snowy River Bait Fishery</t>
    </r>
    <r>
      <rPr>
        <b/>
        <sz val="14"/>
        <rFont val="Arial"/>
        <family val="2"/>
      </rPr>
      <t xml:space="preserve"> – End-year Cost Recovery Report 2018-19</t>
    </r>
  </si>
  <si>
    <r>
      <rPr>
        <b/>
        <u/>
        <sz val="14"/>
        <rFont val="Arial"/>
        <family val="2"/>
      </rPr>
      <t>Sydenham Inlet Bait Fishery</t>
    </r>
    <r>
      <rPr>
        <b/>
        <sz val="14"/>
        <rFont val="Arial"/>
        <family val="2"/>
      </rPr>
      <t xml:space="preserve"> – End-year Cost Recovery Report 2018-19</t>
    </r>
  </si>
  <si>
    <r>
      <rPr>
        <b/>
        <u/>
        <sz val="14"/>
        <rFont val="Arial"/>
        <family val="2"/>
      </rPr>
      <t>Corner Inlet Fishery</t>
    </r>
    <r>
      <rPr>
        <b/>
        <sz val="14"/>
        <rFont val="Arial"/>
        <family val="2"/>
      </rPr>
      <t xml:space="preserve"> – End-year Cost Recovery Report 2018-19</t>
    </r>
  </si>
  <si>
    <r>
      <rPr>
        <b/>
        <u/>
        <sz val="14"/>
        <rFont val="Arial"/>
        <family val="2"/>
      </rPr>
      <t>Eel Fishery</t>
    </r>
    <r>
      <rPr>
        <b/>
        <sz val="14"/>
        <rFont val="Arial"/>
        <family val="2"/>
      </rPr>
      <t xml:space="preserve"> – End-year Cost Recovery Report 2018-19</t>
    </r>
  </si>
  <si>
    <t>Giant Crab Fishery- End-year Cost Recovery Report 2018-19</t>
  </si>
  <si>
    <r>
      <rPr>
        <b/>
        <u/>
        <sz val="14"/>
        <rFont val="Arial"/>
        <family val="2"/>
      </rPr>
      <t>Gippsland Lakes</t>
    </r>
    <r>
      <rPr>
        <b/>
        <sz val="14"/>
        <rFont val="Arial"/>
        <family val="2"/>
      </rPr>
      <t xml:space="preserve"> – End-year Cost Recovery Report 2018-19</t>
    </r>
  </si>
  <si>
    <r>
      <rPr>
        <b/>
        <u/>
        <sz val="14"/>
        <rFont val="Arial"/>
        <family val="2"/>
      </rPr>
      <t>Gippsland Lakes Mussel Dive Fishery</t>
    </r>
    <r>
      <rPr>
        <b/>
        <sz val="14"/>
        <rFont val="Arial"/>
        <family val="2"/>
      </rPr>
      <t xml:space="preserve"> – End-year Cost Recovery Report 2018-19</t>
    </r>
  </si>
  <si>
    <r>
      <rPr>
        <b/>
        <u/>
        <sz val="14"/>
        <rFont val="Arial"/>
        <family val="2"/>
      </rPr>
      <t>Ocean Fishery</t>
    </r>
    <r>
      <rPr>
        <b/>
        <sz val="14"/>
        <rFont val="Arial"/>
        <family val="2"/>
      </rPr>
      <t xml:space="preserve"> – End-year Cost Recovery Report 2018-19</t>
    </r>
  </si>
  <si>
    <r>
      <rPr>
        <b/>
        <u/>
        <sz val="14"/>
        <rFont val="Arial"/>
        <family val="2"/>
      </rPr>
      <t>Purse Seine Ocean Fishery</t>
    </r>
    <r>
      <rPr>
        <b/>
        <sz val="14"/>
        <rFont val="Arial"/>
        <family val="2"/>
      </rPr>
      <t xml:space="preserve"> – End-year Cost Recovery Report 2018-19</t>
    </r>
  </si>
  <si>
    <t>Rock Lobster Eastern Zone Fishery- End-year Cost Recovery Report 2018-19</t>
  </si>
  <si>
    <t>Rock Lobster Western Zone Fishery- End-year Cost Recovery Report 2018-19</t>
  </si>
  <si>
    <r>
      <rPr>
        <b/>
        <u/>
        <sz val="14"/>
        <rFont val="Arial"/>
        <family val="2"/>
      </rPr>
      <t>Port Phillip Bay Dive Scallop Fisher</t>
    </r>
    <r>
      <rPr>
        <b/>
        <sz val="14"/>
        <rFont val="Arial"/>
        <family val="2"/>
      </rPr>
      <t>y - End-year Cost Recovery Report 2018-19</t>
    </r>
  </si>
  <si>
    <r>
      <rPr>
        <b/>
        <u/>
        <sz val="14"/>
        <rFont val="Arial"/>
        <family val="2"/>
      </rPr>
      <t>Ocean Scallop Fisher</t>
    </r>
    <r>
      <rPr>
        <b/>
        <sz val="14"/>
        <rFont val="Arial"/>
        <family val="2"/>
      </rPr>
      <t>y - End-year Cost Recovery Report 2018-19</t>
    </r>
  </si>
  <si>
    <r>
      <rPr>
        <b/>
        <u/>
        <sz val="14"/>
        <rFont val="Arial"/>
        <family val="2"/>
      </rPr>
      <t>Sea Urchin Fisher</t>
    </r>
    <r>
      <rPr>
        <b/>
        <sz val="14"/>
        <rFont val="Arial"/>
        <family val="2"/>
      </rPr>
      <t>y - End-year Cost Recovery Report 2018-19</t>
    </r>
  </si>
  <si>
    <r>
      <rPr>
        <b/>
        <u/>
        <sz val="14"/>
        <rFont val="Arial"/>
        <family val="2"/>
      </rPr>
      <t>Trawl Inshore Fishery</t>
    </r>
    <r>
      <rPr>
        <b/>
        <sz val="14"/>
        <rFont val="Arial"/>
        <family val="2"/>
      </rPr>
      <t xml:space="preserve"> – End-year Cost Recovery Report 2018-19</t>
    </r>
  </si>
  <si>
    <r>
      <rPr>
        <b/>
        <u/>
        <sz val="14"/>
        <rFont val="Arial"/>
        <family val="2"/>
      </rPr>
      <t>Western Port/ Port Phillip Bay Fishery</t>
    </r>
    <r>
      <rPr>
        <b/>
        <sz val="14"/>
        <rFont val="Arial"/>
        <family val="2"/>
      </rPr>
      <t xml:space="preserve"> – End-year Cost Recovery Report 2018-19</t>
    </r>
  </si>
  <si>
    <r>
      <rPr>
        <b/>
        <u/>
        <sz val="14"/>
        <rFont val="Arial"/>
        <family val="2"/>
      </rPr>
      <t>Wrasse (Ocean) Fishery</t>
    </r>
    <r>
      <rPr>
        <b/>
        <sz val="14"/>
        <rFont val="Arial"/>
        <family val="2"/>
      </rPr>
      <t xml:space="preserve"> – End-year Cost Recovery Report 2018-19</t>
    </r>
  </si>
  <si>
    <r>
      <rPr>
        <b/>
        <u/>
        <sz val="14"/>
        <rFont val="Arial"/>
        <family val="2"/>
      </rPr>
      <t>Fish Receivers (Abalone) Fishery</t>
    </r>
    <r>
      <rPr>
        <b/>
        <sz val="14"/>
        <rFont val="Arial"/>
        <family val="2"/>
      </rPr>
      <t xml:space="preserve"> – End-year Cost Recovery Report 2018-19</t>
    </r>
  </si>
  <si>
    <t>All completed according to requirements</t>
  </si>
  <si>
    <t>Completed. RLRAG held on 13 December.</t>
  </si>
  <si>
    <t>Completed 2018. On track for 2019 - To be gazetted Mid May 2019</t>
  </si>
  <si>
    <t>Completed 2018. Port meeting held in Apollo Bay in April 2019 to discuss TACC. RLRAG discussions mid 2019 will include Agenda item of development of HS. Key fisher has not yet been able to attend RLRAG. Included as delivery for stock assessment provider in 2019. Management arrangements relating to a reduction to minimum size limit and overcatch allowance have been progressed.</t>
  </si>
  <si>
    <t>Completed. GC TACC port meeting held in Apollo Bay on 3 April. Regular phone contact with sole GC fisher. Tri-state workshop facilitated by VFA on 12 November.</t>
  </si>
  <si>
    <t>Acknowledged within 5 business days</t>
  </si>
  <si>
    <t>Complete. Minimum size limit reduction included in Reg review and work currently underway to increase overcatch through amending the IQO</t>
  </si>
  <si>
    <t>December 13 and March 4 RLRAG held and discussed.</t>
  </si>
  <si>
    <t>Stock assessment delivered to stakeholders March 2019</t>
  </si>
  <si>
    <t>Completed April 2019. San Remo, Queenscliff, Apollo Bay.</t>
  </si>
  <si>
    <t>Done for 2018. On track for 2019.</t>
  </si>
  <si>
    <t>4 RLRAG meetings were held in 2018. March 4 RLRAG and Eastern Zone TACC completed.</t>
  </si>
  <si>
    <t>Acknowledged within 5 business days.</t>
  </si>
  <si>
    <t>Completed.</t>
  </si>
  <si>
    <t>Sumamry of Season 1 tagging data provided at TACC port visits meetings</t>
  </si>
  <si>
    <t>2 SRL RD&amp;E meetings were attended in 2018. March 13 meeting attended for 2019</t>
  </si>
  <si>
    <t>Complete (one site was not surveyed due to commercial vessel not being available)</t>
  </si>
  <si>
    <t>90% Complete (to be ready prior to the Dec 13 Resource Assessment Group Meeting)</t>
  </si>
  <si>
    <t>Mostly conducted by IMAS</t>
  </si>
  <si>
    <t>IMAS to complete (Update not provided as Klaas Hartmann on leave)</t>
  </si>
  <si>
    <t>Complete. Delivered March 2019</t>
  </si>
  <si>
    <t>Completed. Western zone TACC workshops held in Apollo Bay, Warrnambool and Port MacDonnell</t>
  </si>
  <si>
    <t>Summary of Season 1 tagging data provided at TACC port visits meetings</t>
  </si>
  <si>
    <t>Stock assessment report delivered 14 Nov 2019 (&gt;10 days before TACC workshop)</t>
  </si>
  <si>
    <t>TACC workshop held on 17 Jan 2019</t>
  </si>
  <si>
    <t>Statutory documents sent to all stakeholders on 23 Jan 2019</t>
  </si>
  <si>
    <t>FAQO and FN gazetted and notifications send to all stakeholders on 15 Mar 2019</t>
  </si>
  <si>
    <t>All requests acknoweldged within 5 days</t>
  </si>
  <si>
    <t>FRAG meetings attended by VFA
AIC meetings attended by VFA
HS Peer review meeting organised by VFA</t>
  </si>
  <si>
    <t>Annual report currenlty being prepared</t>
  </si>
  <si>
    <t xml:space="preserve">All data collected provided to management for distribution to industry. </t>
  </si>
  <si>
    <t>Quality Assurance rport completed and updated - live document.</t>
  </si>
  <si>
    <t>Report drafted, revised multiple times, and distributed to industry.</t>
  </si>
  <si>
    <t>Generated from Abase, checked and electronic copy sent to industry.</t>
  </si>
  <si>
    <t>Captured as part of the QA report.</t>
  </si>
  <si>
    <t>EZ stock assessment report provided electronically on 01/11/2018 (28 days prior to workshop).</t>
  </si>
  <si>
    <t>TACC workshop held 12 Dec 2018 at EZAIA request</t>
  </si>
  <si>
    <t>Statutory documents sent to all stakeholders on 27 Dec 2018</t>
  </si>
  <si>
    <t>FAQO and FN gazetted and notifications send to all stakeholders on 6 Feb 2019</t>
  </si>
  <si>
    <t>Oct Mallacoota meeting
AIC meetings attended by VFA
HS Peer review meeting organised by VFA</t>
  </si>
  <si>
    <t>Data received from AFCOL, checked, and summarised.</t>
  </si>
  <si>
    <t>Stock assessment report delivered 24 Dec 2019 (&gt;10 days before TACC workshop)</t>
  </si>
  <si>
    <t>TACC workshop held 15 Jan 2019</t>
  </si>
  <si>
    <t>Port Fairy meeting in Sept
AIC meetings attended by VFA
HS Peer review meeting organised by VFA</t>
  </si>
  <si>
    <t xml:space="preserve">All data collected and provided to management for distribution to industry. </t>
  </si>
  <si>
    <t>Data requested but industry did not provide it.</t>
  </si>
  <si>
    <t>Quality Assurance report completed and updated - live document.</t>
  </si>
  <si>
    <t>New licence application and issue.</t>
  </si>
  <si>
    <t>SIV meetings: Oct 2018, Jan 2019, May 2019</t>
  </si>
  <si>
    <t xml:space="preserve">No meeting planned with stakeholders - meetings held with SIV </t>
  </si>
  <si>
    <t>Nil</t>
  </si>
  <si>
    <t>One request responded to within 5 days</t>
  </si>
  <si>
    <t xml:space="preserve">No management changes - advice prepared as per Ministerials </t>
  </si>
  <si>
    <t>All requests responded to within 5 days</t>
  </si>
  <si>
    <t xml:space="preserve">Export approval process approved for another 5 years </t>
  </si>
  <si>
    <t xml:space="preserve">All stakeholder requests responded to within 5 days </t>
  </si>
  <si>
    <t>Management advice provided to CEO</t>
  </si>
  <si>
    <t>Stakeholder meeting held in Feb 2019</t>
  </si>
  <si>
    <t>Developed COP with licence holder</t>
  </si>
  <si>
    <t>Consultation documents sent 31/01/19</t>
  </si>
  <si>
    <t>Documents published before 30 March</t>
  </si>
  <si>
    <t>Correspondence via letters to licence holders has been undertaken in agreeance with SIV as best form of contact.</t>
  </si>
  <si>
    <t>All requests acknowldeged within 5 days</t>
  </si>
  <si>
    <t>PPB meeting Sept 2018
EZ meeting Oct 2018</t>
  </si>
  <si>
    <t>Renewal of Snapper FN in October 2018</t>
  </si>
  <si>
    <t>Input provided into Reg Review</t>
  </si>
  <si>
    <t>October 2018 SIV/Management meeting held.</t>
  </si>
  <si>
    <t>Next Wrasse specific meeting scheduled for July 2019</t>
  </si>
  <si>
    <t>Acknolwedged within 5 business days</t>
  </si>
  <si>
    <t xml:space="preserve"> Work on this deliverable was re-scheduled until after the annual stock assessments and a draft report was completed and provided to VFA managers on the 7 March 2019. However, since this deliverable was identified the outsorucing of assessment arrangements (Tendered contract with MRAG) has taken priority over the specific details regarding ongoing data acquistion via FIS. In this context managers will be engaging with MRAG on an ongoing basis to ensure that all information requirements for the delivery of the harvest strategy is aligned with fishery independent field surveys.</t>
  </si>
  <si>
    <t>Generated from VFA abalone database, checked and electronic copy sent to managers.</t>
  </si>
  <si>
    <t>No longer recovered</t>
  </si>
  <si>
    <t>Analysis and reporting of catch and effort data was provide to fishery manager on  31 May 2019.  A report with prioritized list of improvements for fisheries stock assessment is planned for late June.</t>
  </si>
  <si>
    <t>Snapper and King George whiting pre-recruit surveys have been completed. 2017/18 commercial snapper catch sampling completed in June 2018 (1271 snapper measured). Analysis and reporting of catch and effort data completed in May.</t>
  </si>
  <si>
    <t>Analysis and reporting of catch and effort data was provide to fishery manager in May 2019.  A report with prioritized list of improvements for fisheries stock assessment is planned for late June.</t>
  </si>
  <si>
    <t xml:space="preserve">Inspections are undertaken at any time in any location to ensure the level of compliance is proven to be at an acceptable level. 
The outcome of this activity maintains or raises a risk perception in the mind of any commercial fisher who is contemplating committing an offence. </t>
  </si>
  <si>
    <t xml:space="preserve">Inspections are undertaken at any time in any location to ensure compliance.  This involves: 
-      Enforcement of size limits at the reef code level where there is clear differentiation between reefs.
-      Enforcement of take-area reporting.
-      Enforcement of take when zonal TACC or allocated quota holding is reached.
</t>
  </si>
  <si>
    <t>4.1.1 Quota catch recording &amp; admin services</t>
  </si>
  <si>
    <t>Manage the IMAS rock lobster science contract in accordance with government procurement policy</t>
  </si>
  <si>
    <t>Manage the IMAS rock lobster crab science contract in accordance with government procurement policy</t>
  </si>
  <si>
    <t>Acknowledge all requests within 5 business days of receipt including a date for completion.</t>
  </si>
  <si>
    <t>Analysis and reporting of catch and effort data was sent to fishery manager on  31 May 2019. A prioritized list of improvements for fisheries stock assessment is planned for late June.</t>
  </si>
  <si>
    <t>3.1 Data collection, monitoring, analysis and advice to support fisheries management decisions.</t>
  </si>
  <si>
    <t>Bream pre-recruit survey completed. Analysis and reporting of catch and effort data provided to fishery manager on 31 May 2019. A prioritized list of improvements for fisheries stock assessment is planned for late June.</t>
  </si>
  <si>
    <t>Acknowledge all requests within 5 business days of receipt including providing date for completion</t>
  </si>
  <si>
    <t>Giant Crab workshop undertaken on 12 November with FRDC application to be developed to improve data collection.</t>
  </si>
  <si>
    <t>Annual length frequency measurements complete  for commerial catch monthly sampling program for King George whiting and rock flathead. Analysis and reporting of catch and effort data provided to fishery manager on 31 May 2019. A report with prioritized list of improvements for fisheries stock assessment is planned for June.</t>
  </si>
  <si>
    <t>Acknowledge all requests within 5 business days of receipt including date for completion.</t>
  </si>
  <si>
    <t>3.1 Data collection, monitoring, analysis &amp; advice to support fisheries management decision making.</t>
  </si>
  <si>
    <t>3.1 Data collection, analysis &amp; advice to support fisheries management decision making.</t>
  </si>
  <si>
    <t>Acknowledge all requests within business days of receipt including providing date for completion.</t>
  </si>
  <si>
    <t xml:space="preserve">Using intelligence, targeted inspections conducted:
• at sea, and at landing to detect and deter non-compliance with legislation.
</t>
  </si>
  <si>
    <t>Liaise with SIV twice per year to identify stakeholder issues, maintain an issues log and follow up on issues.</t>
  </si>
  <si>
    <t>The Victorian commercial bait fishery was assessed in 2016 and this year data anaysis and reporting was not undertaken for Snowy River fishery with priority given to assessments of other species in other fisheries. The need for Snowy River bait fishery assessment will be considered later in 2019.</t>
  </si>
  <si>
    <t>The Victorian commercial bait fishery was assessed in 2016 and this year data anaysis and reporting was not undertaken for Sydenham Inlet with priority given to assessments of other species in other fisheries. The need for Sydneham Inlet fishery assessment will be considered later in 2019.</t>
  </si>
  <si>
    <t>The Victorian bait fishery was assessed in 2016. This year data anaysis and reporting was not undertaken for Lake Tyers fishery with priority given to assessments of species. Assessment will be considered later in 2019.</t>
  </si>
  <si>
    <t>The Victorian bait fishery was assessed in 2016. This year data anaysis and reporting was not undertaken for Gippsland Lakes fishery with priority given to assessments of species. Assessment will be considered later in 2019.</t>
  </si>
  <si>
    <t>Proactively engage with stakeholders, manage relationships to foster improved collaborative approach, and progress agreed initiatives.</t>
  </si>
  <si>
    <t>One request for a general bait licence.</t>
  </si>
  <si>
    <t xml:space="preserve">No meeting planned with stakeholders. </t>
  </si>
  <si>
    <t>Annual report with prioritised list of improvements for fisheries stock assessment. Meeting to discuss results</t>
  </si>
  <si>
    <t xml:space="preserve"> Work re-scheduled until after the annual stock assessments and a draft report was completed and provided to VFA managers on 7/3/19. Since this deliverable was identified the outsourcing of assessment arrangements (MOU with WADA) has taken priority over the specific details regarding ongoing data acquistion via FIS. Managers will be engaging with WADA on an ongoing basis to ensure that all information requirements for the delivery of the biomass harvest strategy is aligned with fishery independent field surveys.</t>
  </si>
  <si>
    <t xml:space="preserve">Inspections are undertaken at any time in any location to ensure compliance.  This involves: 
-Enforcement of size limits at the reef code level where there is clear differentiation between reefs (1 by regulation).
-Enforcement of take-area reporting.
-Enforcement of take when zonal TACC or allocated quota holding is reached.
</t>
  </si>
  <si>
    <t>Work re-scheduled until after the annual stock assessments and a draft report was completed and provided to VFA managers on 7/3/19. Since this deliverable was identified the outsourcing of assessment arrangements (MOU with WADA) has taken priority over the specific details regarding ongoing data acquistion via FIS. Managers will be engaging with WADA on an ongoing basis to ensure that all information requirements for the delivery of the biomass harvest strategy is aligned with fishery independent field surveys.</t>
  </si>
  <si>
    <t>Proactively engage with stakeholders, manage relationships to foster improved collaborative approach,  and progress agreed initiatives</t>
  </si>
  <si>
    <t>Advice provided. Meeting with industry in Mallacoota.</t>
  </si>
  <si>
    <t>Provide advice consistent with agreed scope of works</t>
  </si>
  <si>
    <t>Acknowledge all requests for information within five days of receipt including providing a date for completion.</t>
  </si>
  <si>
    <t>Generated from Abase and copy sent to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</si>
</sst>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Red]\-#,##0\ "/>
    <numFmt numFmtId="167" formatCode="&quot;$&quot;#,##0"/>
    <numFmt numFmtId="168" formatCode="0.000"/>
    <numFmt numFmtId="169" formatCode="#,##0_ ;\-#,##0\ "/>
    <numFmt numFmtId="170" formatCode="0.0000"/>
  </numFmts>
  <fonts count="41" x14ac:knownFonts="1">
    <font>
      <sz val="11"/>
      <color theme="1"/>
      <name val="Calibri"/>
      <family val="2"/>
      <scheme val="minor"/>
    </font>
    <font>
      <b/>
      <sz val="11"/>
      <color theme="1"/>
      <name val="Calibri"/>
      <family val="2"/>
      <scheme val="minor"/>
    </font>
    <font>
      <b/>
      <sz val="14"/>
      <color theme="1"/>
      <name val="Arial"/>
      <family val="2"/>
    </font>
    <font>
      <b/>
      <sz val="10"/>
      <color theme="1"/>
      <name val="Arial"/>
      <family val="2"/>
    </font>
    <font>
      <sz val="10"/>
      <color theme="1"/>
      <name val="Arial"/>
      <family val="2"/>
    </font>
    <font>
      <sz val="12"/>
      <color theme="1"/>
      <name val="Calibri"/>
      <family val="2"/>
    </font>
    <font>
      <sz val="10"/>
      <color rgb="FF000000"/>
      <name val="Arial"/>
      <family val="2"/>
    </font>
    <font>
      <b/>
      <sz val="12"/>
      <color theme="1"/>
      <name val="Arial"/>
      <family val="2"/>
    </font>
    <font>
      <sz val="12"/>
      <color theme="1"/>
      <name val="Arial"/>
      <family val="2"/>
    </font>
    <font>
      <sz val="10"/>
      <name val="Arial"/>
      <family val="2"/>
    </font>
    <font>
      <b/>
      <sz val="10"/>
      <color rgb="FFFF0000"/>
      <name val="Arial"/>
      <family val="2"/>
    </font>
    <font>
      <sz val="11"/>
      <color theme="1"/>
      <name val="Calibri"/>
      <family val="2"/>
      <scheme val="minor"/>
    </font>
    <font>
      <b/>
      <u/>
      <sz val="14"/>
      <color theme="1"/>
      <name val="Arial"/>
      <family val="2"/>
    </font>
    <font>
      <i/>
      <sz val="10"/>
      <color theme="1"/>
      <name val="Arial"/>
      <family val="2"/>
    </font>
    <font>
      <sz val="11"/>
      <color rgb="FFFF0000"/>
      <name val="Calibri"/>
      <family val="2"/>
      <scheme val="minor"/>
    </font>
    <font>
      <b/>
      <i/>
      <sz val="12"/>
      <color theme="1"/>
      <name val="Calibri"/>
      <family val="2"/>
    </font>
    <font>
      <sz val="11"/>
      <color theme="0"/>
      <name val="Calibri"/>
      <family val="2"/>
      <scheme val="minor"/>
    </font>
    <font>
      <sz val="10"/>
      <color theme="1"/>
      <name val="Symbol"/>
      <family val="1"/>
      <charset val="2"/>
    </font>
    <font>
      <sz val="10"/>
      <color theme="0"/>
      <name val="Arial"/>
      <family val="2"/>
    </font>
    <font>
      <b/>
      <i/>
      <sz val="11"/>
      <color theme="1"/>
      <name val="Calibri"/>
      <family val="2"/>
      <scheme val="minor"/>
    </font>
    <font>
      <b/>
      <sz val="11"/>
      <color theme="0"/>
      <name val="Calibri"/>
      <family val="2"/>
      <scheme val="minor"/>
    </font>
    <font>
      <sz val="10"/>
      <color rgb="FFFF0000"/>
      <name val="Arial"/>
      <family val="2"/>
    </font>
    <font>
      <sz val="10"/>
      <color theme="1"/>
      <name val="Calibri"/>
      <family val="2"/>
      <scheme val="minor"/>
    </font>
    <font>
      <sz val="10"/>
      <color theme="1"/>
      <name val="Calibri"/>
      <family val="2"/>
    </font>
    <font>
      <b/>
      <sz val="10"/>
      <color theme="1"/>
      <name val="Calibri"/>
      <family val="2"/>
      <scheme val="minor"/>
    </font>
    <font>
      <sz val="11"/>
      <name val="Calibri"/>
      <family val="2"/>
      <scheme val="minor"/>
    </font>
    <font>
      <sz val="12"/>
      <color rgb="FFFF0000"/>
      <name val="Arial"/>
      <family val="2"/>
    </font>
    <font>
      <b/>
      <sz val="10"/>
      <name val="Arial"/>
      <family val="2"/>
    </font>
    <font>
      <vertAlign val="superscript"/>
      <sz val="10"/>
      <color theme="1"/>
      <name val="Arial"/>
      <family val="2"/>
    </font>
    <font>
      <b/>
      <sz val="11"/>
      <color theme="1"/>
      <name val="Arial"/>
      <family val="2"/>
    </font>
    <font>
      <sz val="11"/>
      <color theme="1"/>
      <name val="Arial"/>
      <family val="2"/>
    </font>
    <font>
      <b/>
      <sz val="14"/>
      <name val="Arial"/>
      <family val="2"/>
    </font>
    <font>
      <b/>
      <u/>
      <sz val="14"/>
      <name val="Arial"/>
      <family val="2"/>
    </font>
    <font>
      <b/>
      <sz val="11"/>
      <name val="Calibri"/>
      <family val="2"/>
      <scheme val="minor"/>
    </font>
    <font>
      <sz val="9"/>
      <color theme="1"/>
      <name val="Arial"/>
      <family val="2"/>
    </font>
    <font>
      <i/>
      <sz val="11"/>
      <color theme="1"/>
      <name val="Calibri"/>
      <family val="2"/>
      <scheme val="minor"/>
    </font>
    <font>
      <b/>
      <sz val="11"/>
      <color rgb="FFFF0000"/>
      <name val="Calibri"/>
      <family val="2"/>
      <scheme val="minor"/>
    </font>
    <font>
      <i/>
      <sz val="10"/>
      <name val="Arial"/>
      <family val="2"/>
    </font>
    <font>
      <i/>
      <sz val="11"/>
      <color rgb="FFFF0000"/>
      <name val="Calibri"/>
      <family val="2"/>
      <scheme val="minor"/>
    </font>
    <font>
      <sz val="9"/>
      <color indexed="81"/>
      <name val="Tahoma"/>
      <charset val="1"/>
    </font>
    <font>
      <b/>
      <sz val="9"/>
      <color indexed="81"/>
      <name val="Tahoma"/>
      <charset val="1"/>
    </font>
  </fonts>
  <fills count="20">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bottom style="medium">
        <color indexed="64"/>
      </bottom>
      <diagonal/>
    </border>
    <border>
      <left style="medium">
        <color rgb="FFFF0000"/>
      </left>
      <right style="medium">
        <color rgb="FFFF0000"/>
      </right>
      <top/>
      <bottom/>
      <diagonal/>
    </border>
    <border>
      <left style="medium">
        <color rgb="FFFF0000"/>
      </left>
      <right style="medium">
        <color rgb="FFFF0000"/>
      </right>
      <top style="medium">
        <color indexed="64"/>
      </top>
      <bottom style="thin">
        <color indexed="64"/>
      </bottom>
      <diagonal/>
    </border>
    <border>
      <left style="medium">
        <color rgb="FFFF0000"/>
      </left>
      <right style="medium">
        <color rgb="FFFF0000"/>
      </right>
      <top style="medium">
        <color indexed="64"/>
      </top>
      <bottom/>
      <diagonal/>
    </border>
    <border>
      <left style="thin">
        <color indexed="64"/>
      </left>
      <right style="medium">
        <color indexed="64"/>
      </right>
      <top style="thin">
        <color indexed="64"/>
      </top>
      <bottom style="thin">
        <color indexed="64"/>
      </bottom>
      <diagonal/>
    </border>
    <border>
      <left style="medium">
        <color rgb="FFFF0000"/>
      </left>
      <right/>
      <top/>
      <bottom/>
      <diagonal/>
    </border>
    <border>
      <left style="medium">
        <color rgb="FFFF0000"/>
      </left>
      <right/>
      <top/>
      <bottom style="thin">
        <color indexed="64"/>
      </bottom>
      <diagonal/>
    </border>
    <border>
      <left style="medium">
        <color rgb="FFFF0000"/>
      </left>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rgb="FFFF0000"/>
      </left>
      <right/>
      <top/>
      <bottom style="medium">
        <color rgb="FFFF0000"/>
      </bottom>
      <diagonal/>
    </border>
    <border diagonalDown="1">
      <left style="thin">
        <color indexed="64"/>
      </left>
      <right style="medium">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rgb="FFFF0000"/>
      </left>
      <right/>
      <top style="thin">
        <color indexed="64"/>
      </top>
      <bottom/>
      <diagonal/>
    </border>
    <border>
      <left style="medium">
        <color indexed="64"/>
      </left>
      <right/>
      <top style="thin">
        <color indexed="64"/>
      </top>
      <bottom style="thin">
        <color indexed="64"/>
      </bottom>
      <diagonal/>
    </border>
  </borders>
  <cellStyleXfs count="4">
    <xf numFmtId="0" fontId="0"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cellStyleXfs>
  <cellXfs count="1203">
    <xf numFmtId="0" fontId="0" fillId="0" borderId="0" xfId="0"/>
    <xf numFmtId="0" fontId="2" fillId="0" borderId="0" xfId="0" applyFont="1" applyAlignment="1">
      <alignment vertical="center"/>
    </xf>
    <xf numFmtId="0" fontId="0" fillId="0" borderId="0" xfId="0" applyBorder="1"/>
    <xf numFmtId="0" fontId="4" fillId="0" borderId="8" xfId="0" applyFont="1" applyBorder="1" applyAlignment="1">
      <alignment vertical="top" wrapText="1"/>
    </xf>
    <xf numFmtId="15" fontId="5" fillId="0" borderId="0" xfId="0" applyNumberFormat="1" applyFont="1" applyAlignment="1">
      <alignment horizontal="right" vertical="center"/>
    </xf>
    <xf numFmtId="6" fontId="0" fillId="0" borderId="0" xfId="0" applyNumberFormat="1" applyBorder="1"/>
    <xf numFmtId="6" fontId="1" fillId="0" borderId="0" xfId="0" applyNumberFormat="1" applyFont="1" applyBorder="1"/>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0" fillId="3" borderId="0" xfId="0" applyFill="1" applyAlignment="1">
      <alignment horizontal="center" vertical="center" wrapText="1"/>
    </xf>
    <xf numFmtId="0" fontId="4" fillId="0" borderId="11" xfId="0" applyFont="1" applyBorder="1" applyAlignment="1">
      <alignment vertical="top" wrapText="1"/>
    </xf>
    <xf numFmtId="0" fontId="6" fillId="0" borderId="17" xfId="0" applyFont="1" applyBorder="1" applyAlignment="1">
      <alignment horizontal="center" vertical="center" wrapText="1"/>
    </xf>
    <xf numFmtId="0" fontId="4" fillId="0" borderId="8" xfId="0" applyFont="1" applyBorder="1"/>
    <xf numFmtId="0" fontId="4" fillId="0" borderId="0" xfId="0" applyFont="1" applyBorder="1"/>
    <xf numFmtId="0" fontId="4" fillId="0" borderId="12" xfId="0" applyFont="1" applyBorder="1"/>
    <xf numFmtId="0" fontId="4" fillId="0" borderId="11" xfId="0" applyFont="1" applyBorder="1"/>
    <xf numFmtId="0" fontId="4" fillId="0" borderId="8" xfId="0" applyFont="1" applyBorder="1" applyAlignment="1">
      <alignment horizontal="center" vertical="center"/>
    </xf>
    <xf numFmtId="0" fontId="4" fillId="0" borderId="17" xfId="0" applyFont="1" applyBorder="1"/>
    <xf numFmtId="0" fontId="4" fillId="0" borderId="18" xfId="0" applyFont="1" applyBorder="1"/>
    <xf numFmtId="0" fontId="4" fillId="0" borderId="19" xfId="0" applyFont="1" applyBorder="1"/>
    <xf numFmtId="0" fontId="4" fillId="0" borderId="16" xfId="0" applyFont="1" applyBorder="1"/>
    <xf numFmtId="0" fontId="4" fillId="0" borderId="28" xfId="0" applyFont="1" applyBorder="1" applyAlignment="1">
      <alignment vertical="center" wrapText="1"/>
    </xf>
    <xf numFmtId="0" fontId="0" fillId="0" borderId="0" xfId="0" applyAlignment="1">
      <alignment vertical="center"/>
    </xf>
    <xf numFmtId="0" fontId="0" fillId="13" borderId="30" xfId="0" applyFill="1" applyBorder="1"/>
    <xf numFmtId="0" fontId="9" fillId="13" borderId="30" xfId="0" applyFont="1" applyFill="1" applyBorder="1" applyAlignment="1">
      <alignment vertical="top" wrapText="1"/>
    </xf>
    <xf numFmtId="0" fontId="10" fillId="13" borderId="30" xfId="0" applyFont="1" applyFill="1" applyBorder="1" applyAlignment="1">
      <alignment horizontal="left" vertical="top" wrapText="1"/>
    </xf>
    <xf numFmtId="0" fontId="4" fillId="13" borderId="30" xfId="0" applyFont="1" applyFill="1" applyBorder="1" applyAlignment="1">
      <alignment horizontal="center" vertical="center" wrapText="1"/>
    </xf>
    <xf numFmtId="0" fontId="4" fillId="13" borderId="30" xfId="0" applyFont="1" applyFill="1" applyBorder="1"/>
    <xf numFmtId="0" fontId="4" fillId="13" borderId="27" xfId="0" applyFont="1" applyFill="1" applyBorder="1"/>
    <xf numFmtId="0" fontId="4" fillId="0" borderId="20" xfId="0" applyFont="1" applyBorder="1" applyAlignment="1">
      <alignment vertical="top" wrapText="1"/>
    </xf>
    <xf numFmtId="0" fontId="6" fillId="0" borderId="3" xfId="0" applyFont="1" applyBorder="1" applyAlignment="1">
      <alignment horizontal="center" vertical="center" wrapText="1"/>
    </xf>
    <xf numFmtId="0" fontId="4" fillId="0" borderId="21" xfId="0" applyFont="1" applyBorder="1" applyAlignment="1">
      <alignment vertical="top" wrapText="1"/>
    </xf>
    <xf numFmtId="0" fontId="4" fillId="0" borderId="27" xfId="0" applyFont="1" applyBorder="1" applyAlignment="1">
      <alignment vertical="center" wrapText="1"/>
    </xf>
    <xf numFmtId="0" fontId="3" fillId="0" borderId="0" xfId="0" applyFont="1" applyAlignment="1">
      <alignment vertical="center"/>
    </xf>
    <xf numFmtId="0" fontId="4" fillId="0" borderId="3" xfId="0" applyFont="1" applyBorder="1"/>
    <xf numFmtId="0" fontId="4" fillId="0" borderId="3" xfId="0" applyFont="1" applyBorder="1" applyAlignment="1">
      <alignment horizontal="center" vertical="center"/>
    </xf>
    <xf numFmtId="0" fontId="7" fillId="13" borderId="29" xfId="0" applyFont="1" applyFill="1" applyBorder="1" applyAlignment="1">
      <alignment vertical="center"/>
    </xf>
    <xf numFmtId="0" fontId="3" fillId="7" borderId="29" xfId="0" applyFont="1" applyFill="1" applyBorder="1" applyAlignment="1">
      <alignment horizontal="center" vertical="center" wrapText="1"/>
    </xf>
    <xf numFmtId="0" fontId="3" fillId="7" borderId="3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3" fillId="7" borderId="3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11" borderId="29" xfId="0" applyFont="1" applyFill="1" applyBorder="1" applyAlignment="1">
      <alignment horizontal="center" vertical="center" wrapText="1"/>
    </xf>
    <xf numFmtId="0" fontId="3" fillId="0" borderId="28" xfId="0" applyFont="1" applyBorder="1" applyAlignment="1">
      <alignment vertical="center"/>
    </xf>
    <xf numFmtId="0" fontId="4" fillId="0" borderId="24" xfId="0" applyFont="1" applyFill="1" applyBorder="1" applyAlignment="1">
      <alignment vertical="center" wrapText="1"/>
    </xf>
    <xf numFmtId="0" fontId="13" fillId="0" borderId="20" xfId="0" applyFont="1" applyBorder="1" applyAlignment="1">
      <alignment vertical="center"/>
    </xf>
    <xf numFmtId="0" fontId="13" fillId="0" borderId="16" xfId="0" applyFont="1" applyBorder="1" applyAlignment="1">
      <alignment vertical="center"/>
    </xf>
    <xf numFmtId="0" fontId="1" fillId="0" borderId="0" xfId="0" applyFont="1"/>
    <xf numFmtId="3" fontId="4" fillId="0" borderId="0" xfId="0" applyNumberFormat="1" applyFont="1" applyAlignment="1">
      <alignment horizontal="right" vertical="top"/>
    </xf>
    <xf numFmtId="3" fontId="4" fillId="0" borderId="8" xfId="0" applyNumberFormat="1" applyFont="1" applyBorder="1" applyAlignment="1">
      <alignment vertical="top"/>
    </xf>
    <xf numFmtId="0" fontId="4" fillId="0" borderId="0" xfId="0" applyFont="1" applyAlignment="1">
      <alignment horizontal="right" vertical="top"/>
    </xf>
    <xf numFmtId="3" fontId="4" fillId="0" borderId="8" xfId="0" applyNumberFormat="1" applyFont="1" applyBorder="1" applyAlignment="1">
      <alignment horizontal="right" vertical="top"/>
    </xf>
    <xf numFmtId="0" fontId="4" fillId="0" borderId="17" xfId="0" applyFont="1" applyBorder="1" applyAlignment="1">
      <alignment horizontal="right" vertical="top"/>
    </xf>
    <xf numFmtId="0" fontId="4" fillId="0" borderId="3" xfId="0" applyFont="1" applyBorder="1" applyAlignment="1">
      <alignment vertical="top" wrapText="1"/>
    </xf>
    <xf numFmtId="0" fontId="0" fillId="0" borderId="0" xfId="0" applyAlignment="1">
      <alignment horizontal="right"/>
    </xf>
    <xf numFmtId="8" fontId="0" fillId="0" borderId="0" xfId="0" applyNumberFormat="1"/>
    <xf numFmtId="6" fontId="4" fillId="0" borderId="3" xfId="0" applyNumberFormat="1" applyFont="1" applyBorder="1" applyAlignment="1">
      <alignment horizontal="right" vertical="top" wrapText="1"/>
    </xf>
    <xf numFmtId="6" fontId="4" fillId="0" borderId="8" xfId="0" applyNumberFormat="1" applyFont="1" applyBorder="1" applyAlignment="1">
      <alignment horizontal="right" vertical="top"/>
    </xf>
    <xf numFmtId="6" fontId="4" fillId="0" borderId="12" xfId="0" applyNumberFormat="1" applyFont="1" applyBorder="1" applyAlignment="1">
      <alignment horizontal="right" vertical="top"/>
    </xf>
    <xf numFmtId="0" fontId="4" fillId="0" borderId="21" xfId="0" applyFont="1" applyBorder="1" applyAlignment="1">
      <alignment horizontal="right" vertical="top" wrapText="1"/>
    </xf>
    <xf numFmtId="0" fontId="4" fillId="0" borderId="21" xfId="0" applyFont="1" applyBorder="1" applyAlignment="1">
      <alignment horizontal="center" vertical="center" wrapText="1"/>
    </xf>
    <xf numFmtId="0" fontId="4" fillId="0" borderId="31" xfId="0" applyFont="1" applyBorder="1" applyAlignment="1">
      <alignment horizontal="right" vertical="top" wrapText="1"/>
    </xf>
    <xf numFmtId="0" fontId="4" fillId="0" borderId="3" xfId="0" applyFont="1" applyBorder="1" applyAlignment="1">
      <alignment horizontal="right" vertical="top" wrapText="1"/>
    </xf>
    <xf numFmtId="3" fontId="4" fillId="0" borderId="32" xfId="0" applyNumberFormat="1" applyFont="1" applyBorder="1" applyAlignment="1">
      <alignment horizontal="right" vertical="top" wrapText="1"/>
    </xf>
    <xf numFmtId="3" fontId="4" fillId="0" borderId="31" xfId="0" applyNumberFormat="1" applyFont="1" applyBorder="1" applyAlignment="1">
      <alignment horizontal="right" vertical="top" wrapText="1"/>
    </xf>
    <xf numFmtId="3" fontId="4" fillId="0" borderId="3" xfId="0" applyNumberFormat="1" applyFont="1" applyBorder="1" applyAlignment="1">
      <alignment horizontal="right" vertical="top" wrapText="1"/>
    </xf>
    <xf numFmtId="0" fontId="4" fillId="0" borderId="31" xfId="0" applyFont="1" applyBorder="1" applyAlignment="1">
      <alignment vertical="top" wrapText="1"/>
    </xf>
    <xf numFmtId="0" fontId="4" fillId="0" borderId="4" xfId="0" applyFont="1" applyBorder="1" applyAlignment="1">
      <alignment vertical="top" wrapText="1"/>
    </xf>
    <xf numFmtId="0" fontId="9" fillId="0" borderId="8" xfId="0" applyFont="1" applyBorder="1" applyAlignment="1">
      <alignment horizontal="left" vertical="top" wrapText="1"/>
    </xf>
    <xf numFmtId="0" fontId="4" fillId="0" borderId="39"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center" vertical="center" wrapText="1"/>
    </xf>
    <xf numFmtId="0" fontId="3" fillId="11" borderId="0" xfId="0" applyFont="1" applyFill="1" applyBorder="1" applyAlignment="1">
      <alignment horizontal="center" vertical="center" wrapText="1"/>
    </xf>
    <xf numFmtId="0" fontId="4" fillId="0" borderId="8" xfId="0" applyFont="1" applyBorder="1" applyAlignment="1">
      <alignment horizontal="center" vertical="center"/>
    </xf>
    <xf numFmtId="15" fontId="15" fillId="0" borderId="0" xfId="0" applyNumberFormat="1" applyFont="1" applyAlignment="1">
      <alignment horizontal="right" vertical="center"/>
    </xf>
    <xf numFmtId="0" fontId="4" fillId="0" borderId="8" xfId="0" applyFont="1" applyBorder="1" applyAlignment="1">
      <alignment horizontal="center" vertical="center"/>
    </xf>
    <xf numFmtId="1" fontId="4" fillId="0" borderId="3" xfId="0" applyNumberFormat="1" applyFont="1" applyBorder="1" applyAlignment="1">
      <alignment horizontal="right" vertical="top" wrapText="1"/>
    </xf>
    <xf numFmtId="1" fontId="4" fillId="0" borderId="12" xfId="0" applyNumberFormat="1" applyFont="1" applyBorder="1" applyAlignment="1">
      <alignment horizontal="right" vertical="top"/>
    </xf>
    <xf numFmtId="3" fontId="4" fillId="0" borderId="12" xfId="0" applyNumberFormat="1" applyFont="1" applyBorder="1" applyAlignment="1">
      <alignment horizontal="right" vertical="top" wrapText="1"/>
    </xf>
    <xf numFmtId="6" fontId="4" fillId="0" borderId="27" xfId="0" applyNumberFormat="1" applyFont="1" applyBorder="1" applyAlignment="1">
      <alignment horizontal="right" vertical="center" wrapText="1"/>
    </xf>
    <xf numFmtId="6" fontId="4" fillId="0" borderId="28" xfId="0" applyNumberFormat="1" applyFont="1" applyBorder="1" applyAlignment="1">
      <alignment horizontal="right" vertical="center"/>
    </xf>
    <xf numFmtId="0" fontId="4" fillId="0" borderId="28" xfId="0" applyFont="1" applyBorder="1" applyAlignment="1">
      <alignment vertical="center"/>
    </xf>
    <xf numFmtId="6" fontId="3" fillId="0" borderId="28" xfId="0" applyNumberFormat="1" applyFont="1" applyBorder="1" applyAlignment="1">
      <alignment horizontal="right" vertical="center"/>
    </xf>
    <xf numFmtId="0" fontId="4" fillId="0" borderId="0" xfId="0" applyFont="1" applyAlignment="1">
      <alignment vertical="center"/>
    </xf>
    <xf numFmtId="0" fontId="0" fillId="0" borderId="0" xfId="0" applyFont="1"/>
    <xf numFmtId="3" fontId="4" fillId="0" borderId="21" xfId="0" applyNumberFormat="1" applyFont="1" applyBorder="1" applyAlignment="1">
      <alignment horizontal="right" vertical="top" wrapText="1"/>
    </xf>
    <xf numFmtId="0" fontId="6" fillId="0" borderId="31" xfId="0" applyFont="1" applyBorder="1" applyAlignment="1">
      <alignment horizontal="right" vertical="top" wrapText="1"/>
    </xf>
    <xf numFmtId="1" fontId="4" fillId="0" borderId="31" xfId="0" applyNumberFormat="1" applyFont="1" applyBorder="1" applyAlignment="1">
      <alignment horizontal="right" vertical="top" wrapText="1"/>
    </xf>
    <xf numFmtId="1" fontId="4" fillId="0" borderId="32" xfId="0" applyNumberFormat="1" applyFont="1" applyBorder="1" applyAlignment="1">
      <alignment horizontal="right" vertical="top" wrapText="1"/>
    </xf>
    <xf numFmtId="0" fontId="4" fillId="0" borderId="11" xfId="0" applyFont="1" applyBorder="1" applyAlignment="1">
      <alignment horizontal="left" vertical="top" wrapText="1"/>
    </xf>
    <xf numFmtId="0" fontId="4" fillId="0" borderId="3" xfId="0" applyFont="1" applyBorder="1" applyAlignment="1">
      <alignment horizontal="right" vertical="top"/>
    </xf>
    <xf numFmtId="0" fontId="4" fillId="0" borderId="3" xfId="0" applyFont="1" applyBorder="1" applyAlignment="1">
      <alignment horizontal="left" vertical="top" wrapText="1"/>
    </xf>
    <xf numFmtId="0" fontId="17" fillId="0" borderId="8" xfId="0" applyFont="1" applyBorder="1" applyAlignment="1">
      <alignment horizontal="left" vertical="top"/>
    </xf>
    <xf numFmtId="0" fontId="4" fillId="0" borderId="31" xfId="0" applyFont="1" applyBorder="1" applyAlignment="1">
      <alignment horizontal="center" vertical="center" wrapText="1"/>
    </xf>
    <xf numFmtId="0" fontId="7" fillId="13" borderId="29" xfId="0" applyFont="1" applyFill="1" applyBorder="1"/>
    <xf numFmtId="0" fontId="4" fillId="0" borderId="3" xfId="0" applyFont="1" applyBorder="1" applyAlignment="1">
      <alignment horizontal="center" vertical="center" wrapText="1"/>
    </xf>
    <xf numFmtId="0" fontId="4" fillId="0" borderId="17" xfId="0" applyFont="1" applyBorder="1" applyAlignment="1">
      <alignment vertical="top" wrapText="1"/>
    </xf>
    <xf numFmtId="0" fontId="4" fillId="0" borderId="48" xfId="0" applyFont="1" applyBorder="1" applyAlignment="1">
      <alignment horizontal="center" vertical="center" wrapText="1"/>
    </xf>
    <xf numFmtId="0" fontId="0" fillId="9" borderId="1" xfId="0" applyFill="1" applyBorder="1"/>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9" fillId="0" borderId="33" xfId="0" applyFont="1" applyBorder="1" applyAlignment="1">
      <alignment vertical="top" wrapText="1"/>
    </xf>
    <xf numFmtId="1" fontId="6" fillId="0" borderId="31" xfId="0" applyNumberFormat="1" applyFont="1" applyBorder="1" applyAlignment="1">
      <alignment horizontal="center" vertical="center" wrapText="1"/>
    </xf>
    <xf numFmtId="0" fontId="6" fillId="0" borderId="48" xfId="0" applyFont="1" applyBorder="1" applyAlignment="1">
      <alignment horizontal="center" vertical="center" wrapText="1"/>
    </xf>
    <xf numFmtId="0" fontId="4" fillId="0" borderId="48" xfId="0" applyFont="1" applyBorder="1" applyAlignment="1">
      <alignment horizontal="right" vertical="top"/>
    </xf>
    <xf numFmtId="8" fontId="16" fillId="0" borderId="0" xfId="0" applyNumberFormat="1" applyFont="1"/>
    <xf numFmtId="0" fontId="0" fillId="0" borderId="0" xfId="0" applyAlignment="1">
      <alignment horizontal="right" vertical="top"/>
    </xf>
    <xf numFmtId="0" fontId="19" fillId="0" borderId="0" xfId="0" applyFont="1"/>
    <xf numFmtId="0" fontId="4" fillId="0" borderId="5" xfId="0" applyFont="1" applyBorder="1" applyAlignment="1">
      <alignment horizontal="left" vertical="top" wrapText="1"/>
    </xf>
    <xf numFmtId="0" fontId="4" fillId="0" borderId="8" xfId="0" applyFont="1" applyBorder="1" applyAlignment="1">
      <alignment horizontal="left" vertical="top" wrapText="1"/>
    </xf>
    <xf numFmtId="0" fontId="6" fillId="0" borderId="17" xfId="0" applyFont="1" applyBorder="1" applyAlignment="1">
      <alignment horizontal="left" vertical="top" wrapText="1"/>
    </xf>
    <xf numFmtId="0" fontId="4" fillId="0" borderId="8" xfId="0" applyFont="1" applyBorder="1" applyAlignment="1">
      <alignment horizontal="center" vertical="center"/>
    </xf>
    <xf numFmtId="0" fontId="3" fillId="0" borderId="0" xfId="0" applyFont="1" applyAlignment="1">
      <alignment horizontal="right" vertical="center"/>
    </xf>
    <xf numFmtId="3" fontId="4" fillId="0" borderId="5" xfId="0" applyNumberFormat="1" applyFont="1" applyBorder="1" applyAlignment="1">
      <alignment horizontal="right" vertical="top" wrapText="1"/>
    </xf>
    <xf numFmtId="3" fontId="4" fillId="0" borderId="8" xfId="0" applyNumberFormat="1" applyFont="1" applyBorder="1" applyAlignment="1">
      <alignment horizontal="right" vertical="top" wrapText="1"/>
    </xf>
    <xf numFmtId="0" fontId="4" fillId="0" borderId="8" xfId="0" applyFont="1" applyBorder="1" applyAlignment="1">
      <alignment horizontal="right" vertical="top" wrapText="1"/>
    </xf>
    <xf numFmtId="0" fontId="4" fillId="0" borderId="46" xfId="0" applyFont="1" applyBorder="1" applyAlignment="1">
      <alignment horizontal="left" vertical="top" wrapText="1"/>
    </xf>
    <xf numFmtId="0" fontId="4" fillId="0" borderId="21" xfId="0" applyFont="1" applyBorder="1" applyAlignment="1">
      <alignment horizontal="left" vertical="top" wrapText="1"/>
    </xf>
    <xf numFmtId="0" fontId="4" fillId="0" borderId="0" xfId="0" applyFont="1" applyBorder="1" applyAlignment="1">
      <alignment horizontal="left" vertical="top" wrapText="1"/>
    </xf>
    <xf numFmtId="3" fontId="4" fillId="0" borderId="15" xfId="0" applyNumberFormat="1" applyFont="1" applyBorder="1" applyAlignment="1">
      <alignment horizontal="right" vertical="top" wrapText="1"/>
    </xf>
    <xf numFmtId="0" fontId="4" fillId="0" borderId="11" xfId="0" applyFont="1" applyBorder="1" applyAlignment="1">
      <alignment vertical="center" wrapText="1"/>
    </xf>
    <xf numFmtId="0" fontId="21" fillId="0" borderId="17" xfId="0" applyFont="1" applyBorder="1" applyAlignment="1">
      <alignment horizontal="left" vertical="top"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right" vertical="top"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3" xfId="0" applyFont="1" applyFill="1" applyBorder="1" applyAlignment="1">
      <alignment horizontal="left" vertical="top" wrapText="1"/>
    </xf>
    <xf numFmtId="0" fontId="3" fillId="0" borderId="4" xfId="0" applyFont="1" applyFill="1" applyBorder="1" applyAlignment="1">
      <alignment horizontal="center" vertical="center" wrapText="1"/>
    </xf>
    <xf numFmtId="0" fontId="4" fillId="0" borderId="16" xfId="0" applyFont="1" applyBorder="1" applyAlignment="1">
      <alignment vertical="top" wrapText="1"/>
    </xf>
    <xf numFmtId="0" fontId="3" fillId="0" borderId="8" xfId="0" applyFont="1" applyBorder="1" applyAlignment="1">
      <alignment vertical="top" wrapText="1"/>
    </xf>
    <xf numFmtId="3" fontId="4" fillId="0" borderId="48" xfId="0" applyNumberFormat="1" applyFont="1" applyBorder="1" applyAlignment="1">
      <alignment horizontal="right" vertical="top" wrapText="1"/>
    </xf>
    <xf numFmtId="0" fontId="4" fillId="0" borderId="48" xfId="0" applyFont="1" applyBorder="1" applyAlignment="1">
      <alignment horizontal="right" vertical="top" wrapText="1"/>
    </xf>
    <xf numFmtId="0" fontId="6" fillId="0" borderId="31" xfId="0" applyFont="1" applyBorder="1" applyAlignment="1">
      <alignment horizontal="center" vertical="center" wrapText="1"/>
    </xf>
    <xf numFmtId="6" fontId="3" fillId="0" borderId="0" xfId="0" applyNumberFormat="1" applyFont="1" applyBorder="1" applyAlignment="1">
      <alignment horizontal="right" vertical="center"/>
    </xf>
    <xf numFmtId="0" fontId="3" fillId="0" borderId="33" xfId="0" applyFont="1" applyBorder="1" applyAlignment="1">
      <alignment vertical="center"/>
    </xf>
    <xf numFmtId="0" fontId="3" fillId="5" borderId="21" xfId="0" applyFont="1" applyFill="1" applyBorder="1" applyAlignment="1">
      <alignment horizontal="center" vertical="center" wrapText="1"/>
    </xf>
    <xf numFmtId="0" fontId="4" fillId="0" borderId="31" xfId="0" applyFont="1" applyFill="1" applyBorder="1" applyAlignment="1">
      <alignment horizontal="left" vertical="top" wrapText="1"/>
    </xf>
    <xf numFmtId="0" fontId="3"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9" xfId="0" applyFont="1" applyBorder="1" applyAlignment="1">
      <alignment horizontal="left" vertical="top" wrapText="1"/>
    </xf>
    <xf numFmtId="0" fontId="4" fillId="0" borderId="4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10" xfId="0" applyFont="1" applyBorder="1" applyAlignment="1">
      <alignment horizontal="left" vertical="top" wrapText="1"/>
    </xf>
    <xf numFmtId="0" fontId="4" fillId="0" borderId="6" xfId="0" applyFont="1" applyFill="1" applyBorder="1" applyAlignment="1">
      <alignment horizontal="left" vertical="top" wrapText="1"/>
    </xf>
    <xf numFmtId="0" fontId="4" fillId="0" borderId="6" xfId="0" applyFont="1" applyBorder="1" applyAlignment="1">
      <alignment horizontal="left" vertical="top" wrapText="1"/>
    </xf>
    <xf numFmtId="0" fontId="4" fillId="0" borderId="42" xfId="0" applyFont="1" applyFill="1" applyBorder="1" applyAlignment="1">
      <alignment vertical="top" wrapText="1"/>
    </xf>
    <xf numFmtId="0" fontId="4" fillId="0" borderId="3" xfId="0" applyFont="1" applyFill="1" applyBorder="1" applyAlignment="1">
      <alignment vertical="top" wrapText="1"/>
    </xf>
    <xf numFmtId="0" fontId="4" fillId="0" borderId="51" xfId="0" applyFont="1" applyBorder="1" applyAlignment="1">
      <alignment horizontal="left" vertical="top" wrapText="1"/>
    </xf>
    <xf numFmtId="166" fontId="4" fillId="0" borderId="6" xfId="0" applyNumberFormat="1" applyFont="1" applyBorder="1" applyAlignment="1">
      <alignment horizontal="right" vertical="top" wrapText="1"/>
    </xf>
    <xf numFmtId="3" fontId="4" fillId="0" borderId="6" xfId="0" applyNumberFormat="1" applyFont="1" applyBorder="1" applyAlignment="1">
      <alignment horizontal="right" vertical="top" wrapText="1"/>
    </xf>
    <xf numFmtId="0" fontId="4" fillId="0" borderId="6" xfId="0" applyFont="1" applyBorder="1" applyAlignment="1">
      <alignment horizontal="right" vertical="top" wrapText="1"/>
    </xf>
    <xf numFmtId="3" fontId="4" fillId="0" borderId="50" xfId="0" applyNumberFormat="1" applyFont="1" applyBorder="1" applyAlignment="1">
      <alignment horizontal="right" vertical="top" wrapText="1"/>
    </xf>
    <xf numFmtId="0" fontId="4" fillId="0" borderId="4" xfId="0" applyFont="1" applyBorder="1" applyAlignment="1">
      <alignment horizontal="center" vertical="center"/>
    </xf>
    <xf numFmtId="3" fontId="4" fillId="0" borderId="9" xfId="0" applyNumberFormat="1" applyFont="1" applyBorder="1" applyAlignment="1">
      <alignment horizontal="right" vertical="top" wrapText="1"/>
    </xf>
    <xf numFmtId="0" fontId="4" fillId="0" borderId="4" xfId="0" applyFont="1" applyBorder="1" applyAlignment="1">
      <alignment horizontal="right" vertical="top" wrapText="1"/>
    </xf>
    <xf numFmtId="3" fontId="4" fillId="0" borderId="4" xfId="0" applyNumberFormat="1" applyFont="1" applyBorder="1" applyAlignment="1">
      <alignment horizontal="right" vertical="top" wrapText="1"/>
    </xf>
    <xf numFmtId="0" fontId="4" fillId="0" borderId="9" xfId="0" applyFont="1" applyBorder="1" applyAlignment="1">
      <alignment horizontal="right" vertical="top" wrapText="1"/>
    </xf>
    <xf numFmtId="3" fontId="4" fillId="0" borderId="49" xfId="0" applyNumberFormat="1" applyFont="1" applyBorder="1" applyAlignment="1">
      <alignment horizontal="right" vertical="top" wrapText="1"/>
    </xf>
    <xf numFmtId="0" fontId="4" fillId="0" borderId="6" xfId="0" applyFont="1" applyBorder="1" applyAlignment="1">
      <alignment horizontal="center" vertical="center"/>
    </xf>
    <xf numFmtId="3" fontId="4" fillId="0" borderId="40" xfId="0" applyNumberFormat="1" applyFont="1" applyBorder="1" applyAlignment="1">
      <alignment horizontal="right" vertical="top" wrapText="1"/>
    </xf>
    <xf numFmtId="0" fontId="22" fillId="0" borderId="0" xfId="0" applyFont="1"/>
    <xf numFmtId="15" fontId="23" fillId="0" borderId="0" xfId="0" applyNumberFormat="1" applyFont="1" applyAlignment="1">
      <alignment horizontal="right" vertical="center"/>
    </xf>
    <xf numFmtId="0" fontId="22" fillId="13" borderId="30" xfId="0" applyFont="1" applyFill="1" applyBorder="1"/>
    <xf numFmtId="0" fontId="22" fillId="0" borderId="0" xfId="0" applyFont="1" applyBorder="1"/>
    <xf numFmtId="6" fontId="22" fillId="0" borderId="0" xfId="0" applyNumberFormat="1" applyFont="1" applyBorder="1"/>
    <xf numFmtId="6" fontId="24" fillId="0" borderId="0" xfId="0" applyNumberFormat="1" applyFont="1" applyBorder="1"/>
    <xf numFmtId="8" fontId="22" fillId="0" borderId="0" xfId="0" applyNumberFormat="1" applyFont="1"/>
    <xf numFmtId="0" fontId="24" fillId="0" borderId="0" xfId="0" applyFont="1" applyAlignment="1">
      <alignment horizontal="right"/>
    </xf>
    <xf numFmtId="0" fontId="24" fillId="0" borderId="0" xfId="0" applyFont="1"/>
    <xf numFmtId="0" fontId="4" fillId="0" borderId="31" xfId="0" applyFont="1" applyBorder="1" applyAlignment="1">
      <alignment horizontal="left" vertical="top" wrapText="1"/>
    </xf>
    <xf numFmtId="0" fontId="9" fillId="0" borderId="21" xfId="0" applyFont="1" applyBorder="1" applyAlignment="1">
      <alignment horizontal="left" vertical="top" wrapText="1"/>
    </xf>
    <xf numFmtId="0" fontId="9" fillId="3" borderId="17" xfId="0" applyFont="1" applyFill="1" applyBorder="1" applyAlignment="1">
      <alignment vertical="top" wrapText="1"/>
    </xf>
    <xf numFmtId="0" fontId="13" fillId="0" borderId="31" xfId="0" applyFont="1" applyBorder="1" applyAlignment="1">
      <alignment horizontal="left" vertical="top" wrapText="1"/>
    </xf>
    <xf numFmtId="0" fontId="0" fillId="0" borderId="0" xfId="0"/>
    <xf numFmtId="0" fontId="2" fillId="0" borderId="0" xfId="0" applyFont="1" applyAlignment="1">
      <alignment vertical="center"/>
    </xf>
    <xf numFmtId="0" fontId="0" fillId="0" borderId="0" xfId="0" applyBorder="1"/>
    <xf numFmtId="0" fontId="4" fillId="0" borderId="3" xfId="0" applyFont="1" applyBorder="1" applyAlignment="1">
      <alignment vertical="top" wrapText="1"/>
    </xf>
    <xf numFmtId="0" fontId="4" fillId="0" borderId="8" xfId="0" applyFont="1" applyBorder="1" applyAlignment="1">
      <alignment vertical="top" wrapText="1"/>
    </xf>
    <xf numFmtId="0" fontId="4" fillId="0" borderId="5" xfId="0" applyFont="1" applyBorder="1" applyAlignment="1">
      <alignment vertical="top" wrapText="1"/>
    </xf>
    <xf numFmtId="6" fontId="0" fillId="0" borderId="0" xfId="0" applyNumberFormat="1" applyBorder="1"/>
    <xf numFmtId="6" fontId="1" fillId="0" borderId="0" xfId="0" applyNumberFormat="1" applyFont="1" applyBorder="1"/>
    <xf numFmtId="0" fontId="0" fillId="3" borderId="0" xfId="0" applyFill="1" applyAlignment="1">
      <alignment horizontal="center" vertical="center"/>
    </xf>
    <xf numFmtId="0" fontId="4" fillId="0" borderId="8" xfId="0" applyFont="1" applyBorder="1"/>
    <xf numFmtId="0" fontId="4" fillId="0" borderId="0" xfId="0" applyFont="1" applyBorder="1"/>
    <xf numFmtId="0" fontId="4" fillId="0" borderId="12" xfId="0" applyFont="1" applyBorder="1"/>
    <xf numFmtId="0" fontId="4" fillId="0" borderId="8" xfId="0" applyFont="1" applyBorder="1" applyAlignment="1">
      <alignment horizontal="center" vertical="center"/>
    </xf>
    <xf numFmtId="0" fontId="4" fillId="0" borderId="17" xfId="0" applyFont="1" applyBorder="1"/>
    <xf numFmtId="0" fontId="4" fillId="0" borderId="18" xfId="0" applyFont="1" applyBorder="1"/>
    <xf numFmtId="0" fontId="4" fillId="0" borderId="19" xfId="0" applyFont="1" applyBorder="1"/>
    <xf numFmtId="0" fontId="4" fillId="0" borderId="15" xfId="0" applyFont="1" applyBorder="1"/>
    <xf numFmtId="0" fontId="7" fillId="10" borderId="55" xfId="0" applyFont="1" applyFill="1" applyBorder="1"/>
    <xf numFmtId="0" fontId="0" fillId="10" borderId="56" xfId="0" applyFill="1" applyBorder="1"/>
    <xf numFmtId="0" fontId="0" fillId="10" borderId="57" xfId="0" applyFill="1" applyBorder="1"/>
    <xf numFmtId="0" fontId="9" fillId="0" borderId="18" xfId="0" applyFont="1" applyBorder="1" applyAlignment="1">
      <alignment vertical="top" wrapText="1"/>
    </xf>
    <xf numFmtId="0" fontId="9" fillId="0" borderId="8" xfId="0" applyFont="1" applyBorder="1" applyAlignment="1">
      <alignment horizontal="left" vertical="top" wrapText="1"/>
    </xf>
    <xf numFmtId="0" fontId="4" fillId="0" borderId="8" xfId="0" applyFont="1" applyBorder="1" applyAlignment="1">
      <alignment horizontal="left" vertical="top" wrapText="1"/>
    </xf>
    <xf numFmtId="0" fontId="4" fillId="0" borderId="41" xfId="0" applyFont="1" applyBorder="1" applyAlignment="1">
      <alignment horizontal="left" vertical="top" wrapText="1"/>
    </xf>
    <xf numFmtId="0" fontId="4" fillId="0" borderId="58" xfId="0" applyFont="1" applyBorder="1"/>
    <xf numFmtId="0" fontId="9" fillId="0" borderId="41" xfId="0" applyFont="1" applyBorder="1" applyAlignment="1">
      <alignment horizontal="left" vertical="top" wrapText="1"/>
    </xf>
    <xf numFmtId="0" fontId="9" fillId="0" borderId="58" xfId="0" applyFont="1" applyBorder="1" applyAlignment="1">
      <alignment horizontal="left" vertical="top" wrapText="1"/>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7" fillId="9" borderId="55" xfId="0" applyFont="1" applyFill="1" applyBorder="1"/>
    <xf numFmtId="0" fontId="0" fillId="9" borderId="56" xfId="0" applyFill="1" applyBorder="1"/>
    <xf numFmtId="0" fontId="7" fillId="2" borderId="55" xfId="0" applyFont="1" applyFill="1" applyBorder="1"/>
    <xf numFmtId="0" fontId="8" fillId="2" borderId="56" xfId="0" applyFont="1" applyFill="1" applyBorder="1"/>
    <xf numFmtId="0" fontId="16" fillId="0" borderId="0" xfId="0" applyFont="1"/>
    <xf numFmtId="0" fontId="0" fillId="9" borderId="57" xfId="0" applyFill="1" applyBorder="1"/>
    <xf numFmtId="0" fontId="8" fillId="2" borderId="57" xfId="0" applyFont="1" applyFill="1" applyBorder="1"/>
    <xf numFmtId="0" fontId="4" fillId="0" borderId="8" xfId="0" applyFont="1" applyBorder="1" applyAlignment="1">
      <alignment horizontal="center" vertical="top" wrapText="1"/>
    </xf>
    <xf numFmtId="0" fontId="4" fillId="0" borderId="53" xfId="0" applyFont="1" applyBorder="1" applyAlignment="1">
      <alignment horizontal="center" vertical="top" wrapText="1"/>
    </xf>
    <xf numFmtId="8" fontId="0" fillId="0" borderId="0" xfId="0" applyNumberFormat="1"/>
    <xf numFmtId="0" fontId="1" fillId="0" borderId="0" xfId="0" applyFont="1"/>
    <xf numFmtId="0" fontId="3" fillId="0" borderId="0" xfId="0" applyFont="1" applyAlignment="1">
      <alignment vertical="center"/>
    </xf>
    <xf numFmtId="0" fontId="4" fillId="0" borderId="28" xfId="0" applyFont="1" applyBorder="1" applyAlignment="1">
      <alignment vertical="center" wrapText="1"/>
    </xf>
    <xf numFmtId="0" fontId="4" fillId="0" borderId="27" xfId="0" applyFont="1" applyBorder="1" applyAlignment="1">
      <alignment vertical="center" wrapText="1"/>
    </xf>
    <xf numFmtId="0" fontId="0" fillId="0" borderId="0" xfId="0" applyAlignment="1">
      <alignment vertical="center"/>
    </xf>
    <xf numFmtId="0" fontId="4" fillId="0" borderId="16" xfId="0" applyFont="1" applyBorder="1"/>
    <xf numFmtId="0" fontId="4" fillId="0" borderId="3" xfId="0" applyFont="1" applyBorder="1" applyAlignment="1">
      <alignment horizontal="center" vertical="center" wrapText="1"/>
    </xf>
    <xf numFmtId="0" fontId="4" fillId="0" borderId="11" xfId="0" applyFont="1" applyBorder="1"/>
    <xf numFmtId="0" fontId="4" fillId="0" borderId="11" xfId="0" applyFont="1" applyBorder="1" applyAlignment="1">
      <alignment vertical="top" wrapText="1"/>
    </xf>
    <xf numFmtId="0" fontId="4" fillId="0" borderId="3" xfId="0" applyFont="1" applyBorder="1" applyAlignment="1">
      <alignment horizontal="left" vertical="top" wrapText="1"/>
    </xf>
    <xf numFmtId="0" fontId="4" fillId="0" borderId="21" xfId="0" applyFont="1" applyBorder="1" applyAlignment="1">
      <alignment horizontal="left" vertical="top" wrapText="1"/>
    </xf>
    <xf numFmtId="0" fontId="4" fillId="0" borderId="8" xfId="0" applyFont="1" applyBorder="1" applyAlignment="1">
      <alignment horizontal="right" vertical="top"/>
    </xf>
    <xf numFmtId="0" fontId="3" fillId="5" borderId="35"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0" fillId="12" borderId="22" xfId="0" applyFill="1" applyBorder="1"/>
    <xf numFmtId="0" fontId="0" fillId="12" borderId="33" xfId="0" applyFill="1" applyBorder="1"/>
    <xf numFmtId="0" fontId="7" fillId="12" borderId="20" xfId="0" applyFont="1" applyFill="1" applyBorder="1"/>
    <xf numFmtId="0" fontId="4" fillId="0" borderId="3" xfId="0" applyFont="1" applyBorder="1" applyAlignment="1">
      <alignment horizontal="center" vertical="center"/>
    </xf>
    <xf numFmtId="3" fontId="4" fillId="0" borderId="31" xfId="0" applyNumberFormat="1" applyFont="1" applyBorder="1" applyAlignment="1">
      <alignment horizontal="right" vertical="top" wrapText="1"/>
    </xf>
    <xf numFmtId="0" fontId="3" fillId="0" borderId="3" xfId="0" applyFont="1" applyFill="1" applyBorder="1" applyAlignment="1">
      <alignment horizontal="center" vertical="center" wrapText="1"/>
    </xf>
    <xf numFmtId="166" fontId="4" fillId="0" borderId="3" xfId="0" applyNumberFormat="1" applyFont="1" applyBorder="1" applyAlignment="1">
      <alignment horizontal="right" vertical="top" wrapText="1"/>
    </xf>
    <xf numFmtId="0" fontId="4" fillId="0" borderId="24" xfId="0" applyFont="1" applyFill="1" applyBorder="1" applyAlignment="1">
      <alignment vertical="center" wrapText="1"/>
    </xf>
    <xf numFmtId="0" fontId="13" fillId="0" borderId="20" xfId="0" applyFont="1" applyBorder="1" applyAlignment="1">
      <alignment vertical="center"/>
    </xf>
    <xf numFmtId="0" fontId="13" fillId="0" borderId="16" xfId="0" applyFont="1" applyBorder="1" applyAlignment="1">
      <alignment vertical="center"/>
    </xf>
    <xf numFmtId="0" fontId="3" fillId="0" borderId="28" xfId="0" applyFont="1" applyBorder="1" applyAlignment="1">
      <alignment vertical="center"/>
    </xf>
    <xf numFmtId="0" fontId="16" fillId="0" borderId="0" xfId="0" applyFont="1" applyAlignment="1">
      <alignment horizontal="right"/>
    </xf>
    <xf numFmtId="0" fontId="4" fillId="0" borderId="31" xfId="0" applyFont="1" applyBorder="1" applyAlignment="1">
      <alignment vertical="top" wrapText="1"/>
    </xf>
    <xf numFmtId="3" fontId="4" fillId="0" borderId="8" xfId="0" applyNumberFormat="1" applyFont="1" applyBorder="1" applyAlignment="1">
      <alignment vertical="top"/>
    </xf>
    <xf numFmtId="0" fontId="4" fillId="0" borderId="21" xfId="0" applyFont="1" applyBorder="1" applyAlignment="1">
      <alignment horizontal="right" vertical="top"/>
    </xf>
    <xf numFmtId="3" fontId="4" fillId="0" borderId="21" xfId="0" applyNumberFormat="1" applyFont="1" applyBorder="1" applyAlignment="1">
      <alignment horizontal="right" vertical="top"/>
    </xf>
    <xf numFmtId="164" fontId="4" fillId="0" borderId="12" xfId="1" applyNumberFormat="1" applyFont="1" applyBorder="1" applyAlignment="1">
      <alignment horizontal="right" vertical="top"/>
    </xf>
    <xf numFmtId="0" fontId="6" fillId="0" borderId="3"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17" xfId="0" applyFont="1" applyBorder="1" applyAlignment="1">
      <alignment horizontal="right" vertical="top"/>
    </xf>
    <xf numFmtId="0" fontId="1" fillId="0" borderId="0" xfId="0" applyFont="1" applyAlignment="1">
      <alignment horizontal="right"/>
    </xf>
    <xf numFmtId="3" fontId="4" fillId="0" borderId="22" xfId="0" applyNumberFormat="1" applyFont="1" applyBorder="1" applyAlignment="1">
      <alignment horizontal="right" vertical="top"/>
    </xf>
    <xf numFmtId="1" fontId="4" fillId="0" borderId="8" xfId="0" applyNumberFormat="1" applyFont="1" applyBorder="1" applyAlignment="1">
      <alignment horizontal="right" vertical="top"/>
    </xf>
    <xf numFmtId="165" fontId="4" fillId="0" borderId="23" xfId="2" applyNumberFormat="1" applyFont="1" applyBorder="1" applyAlignment="1">
      <alignment horizontal="right" vertical="top" wrapText="1"/>
    </xf>
    <xf numFmtId="165" fontId="4" fillId="0" borderId="28" xfId="2" applyNumberFormat="1" applyFont="1" applyBorder="1" applyAlignment="1">
      <alignment horizontal="right" vertical="center"/>
    </xf>
    <xf numFmtId="165" fontId="4" fillId="0" borderId="24" xfId="2" applyNumberFormat="1" applyFont="1" applyBorder="1" applyAlignment="1">
      <alignment horizontal="right"/>
    </xf>
    <xf numFmtId="165" fontId="13" fillId="0" borderId="24" xfId="2" applyNumberFormat="1" applyFont="1" applyBorder="1" applyAlignment="1">
      <alignment horizontal="right" vertical="top" wrapText="1"/>
    </xf>
    <xf numFmtId="165" fontId="13" fillId="0" borderId="26" xfId="2" applyNumberFormat="1" applyFont="1" applyBorder="1" applyAlignment="1">
      <alignment horizontal="right" vertical="top" wrapText="1"/>
    </xf>
    <xf numFmtId="165" fontId="3" fillId="0" borderId="28" xfId="2" applyNumberFormat="1" applyFont="1" applyBorder="1" applyAlignment="1">
      <alignment horizontal="right" vertical="center"/>
    </xf>
    <xf numFmtId="0" fontId="3" fillId="5" borderId="3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12" borderId="39" xfId="0" applyFill="1" applyBorder="1"/>
    <xf numFmtId="0" fontId="4" fillId="0" borderId="41" xfId="0" applyFont="1" applyBorder="1" applyAlignment="1">
      <alignment horizontal="center" vertical="center" wrapText="1"/>
    </xf>
    <xf numFmtId="0" fontId="6" fillId="0" borderId="8" xfId="0" applyFont="1" applyBorder="1" applyAlignment="1">
      <alignment horizontal="center" vertical="center" wrapText="1"/>
    </xf>
    <xf numFmtId="0" fontId="4" fillId="0" borderId="43" xfId="0" applyFont="1" applyBorder="1" applyAlignment="1">
      <alignment horizontal="center" vertical="top" wrapText="1"/>
    </xf>
    <xf numFmtId="0" fontId="4" fillId="0" borderId="43" xfId="0" applyFont="1" applyBorder="1" applyAlignment="1">
      <alignment horizontal="center" vertical="center"/>
    </xf>
    <xf numFmtId="0" fontId="3" fillId="4" borderId="43" xfId="0" applyFont="1" applyFill="1" applyBorder="1" applyAlignment="1">
      <alignment horizontal="center" vertical="center" wrapText="1"/>
    </xf>
    <xf numFmtId="0" fontId="3" fillId="7" borderId="43" xfId="0" applyFont="1" applyFill="1" applyBorder="1" applyAlignment="1">
      <alignment horizontal="center" vertical="center" wrapText="1"/>
    </xf>
    <xf numFmtId="0" fontId="3" fillId="7" borderId="61" xfId="0" applyFont="1" applyFill="1" applyBorder="1" applyAlignment="1">
      <alignment horizontal="center" vertical="center" wrapText="1"/>
    </xf>
    <xf numFmtId="3" fontId="4" fillId="0" borderId="21" xfId="0" applyNumberFormat="1" applyFont="1" applyBorder="1" applyAlignment="1">
      <alignment horizontal="right" vertical="top" wrapText="1"/>
    </xf>
    <xf numFmtId="0" fontId="4" fillId="0" borderId="21" xfId="0" applyFont="1" applyBorder="1" applyAlignment="1">
      <alignment horizontal="right" vertical="top" wrapText="1"/>
    </xf>
    <xf numFmtId="0" fontId="3" fillId="4" borderId="59"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3" fillId="4" borderId="62" xfId="0" applyFont="1" applyFill="1" applyBorder="1" applyAlignment="1">
      <alignment horizontal="center" vertical="center" wrapText="1"/>
    </xf>
    <xf numFmtId="0" fontId="3" fillId="6" borderId="59"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3" fillId="6" borderId="60"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7" borderId="59" xfId="0" applyFont="1" applyFill="1" applyBorder="1" applyAlignment="1">
      <alignment horizontal="center" vertical="center" wrapText="1"/>
    </xf>
    <xf numFmtId="0" fontId="3" fillId="7" borderId="60" xfId="0" applyFont="1" applyFill="1" applyBorder="1" applyAlignment="1">
      <alignment horizontal="center" vertical="center" wrapText="1"/>
    </xf>
    <xf numFmtId="0" fontId="3" fillId="7" borderId="62"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20" xfId="0" applyFont="1" applyBorder="1" applyAlignment="1">
      <alignment horizontal="left" vertical="top" wrapText="1"/>
    </xf>
    <xf numFmtId="0" fontId="4" fillId="0" borderId="21" xfId="0" applyFont="1" applyBorder="1" applyAlignment="1">
      <alignment horizontal="center" vertical="center"/>
    </xf>
    <xf numFmtId="0" fontId="4" fillId="0" borderId="33" xfId="0" applyFont="1" applyBorder="1" applyAlignment="1">
      <alignment horizontal="center" vertical="center"/>
    </xf>
    <xf numFmtId="0" fontId="8" fillId="2" borderId="63" xfId="0" applyFont="1" applyFill="1" applyBorder="1"/>
    <xf numFmtId="0" fontId="4" fillId="0" borderId="46" xfId="0" applyFont="1" applyBorder="1" applyAlignment="1">
      <alignment vertical="top" wrapText="1"/>
    </xf>
    <xf numFmtId="0" fontId="4" fillId="0" borderId="64" xfId="0" applyFont="1" applyBorder="1" applyAlignment="1">
      <alignment horizontal="center" vertical="top" wrapText="1"/>
    </xf>
    <xf numFmtId="0" fontId="0" fillId="0" borderId="45" xfId="0" applyBorder="1"/>
    <xf numFmtId="0" fontId="4" fillId="0" borderId="47" xfId="0" applyFont="1" applyBorder="1"/>
    <xf numFmtId="0" fontId="4" fillId="0" borderId="8" xfId="0" applyFont="1" applyBorder="1" applyAlignment="1">
      <alignment horizontal="left" vertical="top"/>
    </xf>
    <xf numFmtId="0" fontId="7" fillId="8" borderId="55" xfId="0" applyFont="1" applyFill="1" applyBorder="1"/>
    <xf numFmtId="0" fontId="0" fillId="8" borderId="56" xfId="0" applyFill="1" applyBorder="1"/>
    <xf numFmtId="0" fontId="0" fillId="8" borderId="63" xfId="0" applyFill="1" applyBorder="1"/>
    <xf numFmtId="0" fontId="0" fillId="8" borderId="57" xfId="0" applyFill="1" applyBorder="1"/>
    <xf numFmtId="0" fontId="3" fillId="11" borderId="59" xfId="0" applyFont="1" applyFill="1" applyBorder="1" applyAlignment="1">
      <alignment horizontal="center" vertical="center" wrapText="1"/>
    </xf>
    <xf numFmtId="0" fontId="3" fillId="11" borderId="43" xfId="0" applyFont="1" applyFill="1" applyBorder="1" applyAlignment="1">
      <alignment horizontal="center" vertical="center" wrapText="1"/>
    </xf>
    <xf numFmtId="0" fontId="3" fillId="11" borderId="60" xfId="0" applyFont="1" applyFill="1" applyBorder="1" applyAlignment="1">
      <alignment horizontal="center" vertical="center" wrapText="1"/>
    </xf>
    <xf numFmtId="0" fontId="3" fillId="11" borderId="61" xfId="0" applyFont="1" applyFill="1" applyBorder="1" applyAlignment="1">
      <alignment horizontal="center" vertical="center" wrapText="1"/>
    </xf>
    <xf numFmtId="0" fontId="3" fillId="11" borderId="62" xfId="0" applyFont="1" applyFill="1" applyBorder="1" applyAlignment="1">
      <alignment horizontal="center" vertical="center" wrapText="1"/>
    </xf>
    <xf numFmtId="0" fontId="9" fillId="0" borderId="3" xfId="0" applyFont="1" applyBorder="1" applyAlignment="1">
      <alignment horizontal="left" vertical="top" wrapText="1"/>
    </xf>
    <xf numFmtId="0" fontId="0" fillId="10" borderId="63" xfId="0" applyFill="1" applyBorder="1"/>
    <xf numFmtId="0" fontId="0" fillId="9" borderId="63" xfId="0" applyFill="1" applyBorder="1"/>
    <xf numFmtId="44" fontId="4" fillId="0" borderId="0" xfId="2" applyFont="1" applyBorder="1" applyAlignment="1">
      <alignment vertical="top" wrapText="1"/>
    </xf>
    <xf numFmtId="165" fontId="4" fillId="0" borderId="0" xfId="2" applyNumberFormat="1" applyFont="1" applyBorder="1" applyAlignment="1">
      <alignment vertical="center"/>
    </xf>
    <xf numFmtId="165" fontId="4" fillId="0" borderId="0" xfId="2" applyNumberFormat="1" applyFont="1" applyBorder="1" applyAlignment="1">
      <alignment vertical="top" wrapText="1"/>
    </xf>
    <xf numFmtId="165" fontId="0" fillId="0" borderId="0" xfId="2" applyNumberFormat="1" applyFont="1" applyBorder="1" applyAlignment="1"/>
    <xf numFmtId="165" fontId="13" fillId="0" borderId="0" xfId="2" applyNumberFormat="1" applyFont="1" applyBorder="1" applyAlignment="1">
      <alignment vertical="top" wrapText="1"/>
    </xf>
    <xf numFmtId="165" fontId="3" fillId="0" borderId="0" xfId="2" applyNumberFormat="1" applyFont="1" applyBorder="1" applyAlignment="1">
      <alignment vertical="center"/>
    </xf>
    <xf numFmtId="0" fontId="20" fillId="0" borderId="0" xfId="0" applyFont="1" applyAlignment="1">
      <alignment horizontal="right"/>
    </xf>
    <xf numFmtId="0" fontId="20" fillId="0" borderId="0" xfId="0" applyFont="1"/>
    <xf numFmtId="15" fontId="15" fillId="0" borderId="0" xfId="0" applyNumberFormat="1" applyFont="1" applyAlignment="1">
      <alignment horizontal="right" vertical="center"/>
    </xf>
    <xf numFmtId="3" fontId="9" fillId="3" borderId="31" xfId="0" applyNumberFormat="1" applyFont="1" applyFill="1" applyBorder="1" applyAlignment="1">
      <alignment horizontal="right" vertical="top"/>
    </xf>
    <xf numFmtId="3" fontId="9" fillId="3" borderId="21" xfId="0" applyNumberFormat="1" applyFont="1" applyFill="1" applyBorder="1" applyAlignment="1">
      <alignment horizontal="right" vertical="top" wrapText="1"/>
    </xf>
    <xf numFmtId="0" fontId="9" fillId="3" borderId="3" xfId="0" applyFont="1" applyFill="1" applyBorder="1" applyAlignment="1">
      <alignment horizontal="right" vertical="top" wrapText="1"/>
    </xf>
    <xf numFmtId="0" fontId="9" fillId="0" borderId="3" xfId="0" applyFont="1" applyBorder="1" applyAlignment="1">
      <alignment horizontal="center" vertical="center"/>
    </xf>
    <xf numFmtId="3" fontId="9" fillId="0" borderId="8" xfId="0" applyNumberFormat="1" applyFont="1" applyBorder="1" applyAlignment="1">
      <alignment horizontal="right" vertical="top" wrapText="1"/>
    </xf>
    <xf numFmtId="0" fontId="9" fillId="0" borderId="3" xfId="0" applyFont="1" applyBorder="1" applyAlignment="1">
      <alignment horizontal="right" vertical="top" wrapText="1"/>
    </xf>
    <xf numFmtId="3" fontId="9" fillId="0" borderId="3" xfId="0" applyNumberFormat="1" applyFont="1" applyBorder="1" applyAlignment="1">
      <alignment horizontal="right" vertical="top" wrapText="1"/>
    </xf>
    <xf numFmtId="3" fontId="9" fillId="0" borderId="12" xfId="0" applyNumberFormat="1" applyFont="1" applyBorder="1" applyAlignment="1">
      <alignment horizontal="right" vertical="top" wrapText="1"/>
    </xf>
    <xf numFmtId="3" fontId="9" fillId="0" borderId="5" xfId="0" applyNumberFormat="1" applyFont="1" applyBorder="1" applyAlignment="1">
      <alignment horizontal="right" vertical="top" wrapText="1"/>
    </xf>
    <xf numFmtId="3" fontId="9" fillId="0" borderId="6" xfId="0" applyNumberFormat="1" applyFont="1" applyBorder="1" applyAlignment="1">
      <alignment horizontal="right" vertical="top" wrapText="1"/>
    </xf>
    <xf numFmtId="0" fontId="9" fillId="0" borderId="6" xfId="0" applyFont="1" applyBorder="1" applyAlignment="1">
      <alignment horizontal="right" vertical="top" wrapText="1"/>
    </xf>
    <xf numFmtId="3" fontId="9" fillId="0" borderId="31" xfId="0" applyNumberFormat="1" applyFont="1" applyBorder="1" applyAlignment="1">
      <alignment horizontal="right" vertical="top" wrapText="1"/>
    </xf>
    <xf numFmtId="0" fontId="9" fillId="0" borderId="31" xfId="0" applyFont="1" applyBorder="1" applyAlignment="1">
      <alignment horizontal="right" vertical="top" wrapText="1"/>
    </xf>
    <xf numFmtId="0" fontId="9" fillId="0" borderId="21" xfId="0" applyFont="1" applyBorder="1" applyAlignment="1">
      <alignment horizontal="right" vertical="top" wrapText="1"/>
    </xf>
    <xf numFmtId="3" fontId="9" fillId="0" borderId="32" xfId="0" applyNumberFormat="1" applyFont="1" applyBorder="1" applyAlignment="1">
      <alignment horizontal="right" vertical="top" wrapText="1"/>
    </xf>
    <xf numFmtId="3" fontId="9" fillId="3" borderId="31" xfId="0" applyNumberFormat="1" applyFont="1" applyFill="1" applyBorder="1" applyAlignment="1">
      <alignment horizontal="right" vertical="top" wrapText="1"/>
    </xf>
    <xf numFmtId="0" fontId="9" fillId="3" borderId="8" xfId="0" applyFont="1" applyFill="1" applyBorder="1" applyAlignment="1">
      <alignment horizontal="right" vertical="top" wrapText="1"/>
    </xf>
    <xf numFmtId="3" fontId="9" fillId="3" borderId="12" xfId="0" applyNumberFormat="1" applyFont="1" applyFill="1" applyBorder="1" applyAlignment="1">
      <alignment horizontal="right" vertical="top" wrapText="1"/>
    </xf>
    <xf numFmtId="0" fontId="27" fillId="0" borderId="3" xfId="0" applyFont="1" applyFill="1" applyBorder="1" applyAlignment="1">
      <alignment horizontal="center" vertical="center" wrapText="1"/>
    </xf>
    <xf numFmtId="3" fontId="27" fillId="0" borderId="8" xfId="0" applyNumberFormat="1" applyFont="1" applyFill="1" applyBorder="1" applyAlignment="1">
      <alignment horizontal="center" vertical="center" wrapText="1"/>
    </xf>
    <xf numFmtId="0" fontId="27" fillId="0" borderId="8" xfId="0" applyFont="1" applyFill="1" applyBorder="1" applyAlignment="1">
      <alignment horizontal="center" vertical="center" wrapText="1"/>
    </xf>
    <xf numFmtId="3" fontId="27" fillId="0" borderId="12" xfId="0" applyNumberFormat="1" applyFont="1" applyFill="1" applyBorder="1" applyAlignment="1">
      <alignment horizontal="center" vertical="center" wrapText="1"/>
    </xf>
    <xf numFmtId="0" fontId="4" fillId="0" borderId="42" xfId="0" applyFont="1" applyBorder="1" applyAlignment="1">
      <alignment horizontal="left" vertical="top" wrapText="1"/>
    </xf>
    <xf numFmtId="3" fontId="27" fillId="0" borderId="9" xfId="0" applyNumberFormat="1" applyFont="1" applyFill="1" applyBorder="1" applyAlignment="1">
      <alignment horizontal="center" vertical="center" wrapText="1"/>
    </xf>
    <xf numFmtId="0" fontId="27" fillId="0" borderId="9" xfId="0" applyFont="1" applyFill="1" applyBorder="1" applyAlignment="1">
      <alignment horizontal="center" vertical="center" wrapText="1"/>
    </xf>
    <xf numFmtId="3" fontId="27" fillId="0" borderId="14" xfId="0" applyNumberFormat="1" applyFont="1" applyFill="1" applyBorder="1" applyAlignment="1">
      <alignment horizontal="center" vertical="center" wrapText="1"/>
    </xf>
    <xf numFmtId="0" fontId="9" fillId="3" borderId="6" xfId="0" applyFont="1" applyFill="1" applyBorder="1" applyAlignment="1">
      <alignment horizontal="right" vertical="top" wrapText="1"/>
    </xf>
    <xf numFmtId="3" fontId="9" fillId="3" borderId="5" xfId="0" applyNumberFormat="1" applyFont="1" applyFill="1" applyBorder="1" applyAlignment="1">
      <alignment horizontal="right" vertical="top" wrapText="1"/>
    </xf>
    <xf numFmtId="1" fontId="9" fillId="3" borderId="5" xfId="0" applyNumberFormat="1" applyFont="1" applyFill="1" applyBorder="1" applyAlignment="1">
      <alignment horizontal="right" vertical="top" wrapText="1"/>
    </xf>
    <xf numFmtId="3" fontId="9" fillId="3" borderId="50" xfId="0" applyNumberFormat="1" applyFont="1" applyFill="1" applyBorder="1" applyAlignment="1">
      <alignment horizontal="right" vertical="top" wrapText="1"/>
    </xf>
    <xf numFmtId="3" fontId="9" fillId="0" borderId="8" xfId="0" applyNumberFormat="1" applyFont="1" applyFill="1" applyBorder="1" applyAlignment="1">
      <alignment horizontal="right" vertical="top" wrapText="1"/>
    </xf>
    <xf numFmtId="0" fontId="9" fillId="0" borderId="8" xfId="0" applyFont="1" applyFill="1" applyBorder="1" applyAlignment="1">
      <alignment horizontal="right" vertical="top" wrapText="1"/>
    </xf>
    <xf numFmtId="3" fontId="9" fillId="0" borderId="0" xfId="0" applyNumberFormat="1" applyFont="1" applyFill="1" applyBorder="1" applyAlignment="1">
      <alignment horizontal="right" vertical="top" wrapText="1"/>
    </xf>
    <xf numFmtId="0" fontId="27" fillId="0" borderId="0" xfId="0" applyFont="1" applyFill="1" applyBorder="1" applyAlignment="1">
      <alignment horizontal="center" vertical="center" wrapText="1"/>
    </xf>
    <xf numFmtId="3" fontId="27" fillId="0" borderId="15" xfId="0" applyNumberFormat="1" applyFont="1" applyFill="1" applyBorder="1" applyAlignment="1">
      <alignment horizontal="center" vertical="center" wrapText="1"/>
    </xf>
    <xf numFmtId="0" fontId="6" fillId="0" borderId="8" xfId="0" applyFont="1" applyBorder="1" applyAlignment="1">
      <alignment vertical="top" wrapText="1"/>
    </xf>
    <xf numFmtId="3" fontId="9" fillId="0" borderId="31" xfId="0" applyNumberFormat="1" applyFont="1" applyBorder="1" applyAlignment="1">
      <alignment horizontal="center" vertical="top" wrapText="1"/>
    </xf>
    <xf numFmtId="3" fontId="9" fillId="0" borderId="21" xfId="0" applyNumberFormat="1" applyFont="1" applyBorder="1" applyAlignment="1">
      <alignment vertical="top"/>
    </xf>
    <xf numFmtId="0" fontId="6" fillId="0" borderId="9" xfId="0" applyFont="1" applyBorder="1" applyAlignment="1">
      <alignment vertical="top" wrapText="1"/>
    </xf>
    <xf numFmtId="0" fontId="4" fillId="0" borderId="4" xfId="0" applyFont="1" applyBorder="1" applyAlignment="1">
      <alignment horizontal="left" vertical="top" wrapText="1"/>
    </xf>
    <xf numFmtId="0" fontId="21" fillId="0" borderId="4" xfId="0" applyFont="1" applyBorder="1" applyAlignment="1">
      <alignment horizontal="center" vertical="center" wrapText="1"/>
    </xf>
    <xf numFmtId="3" fontId="21" fillId="0" borderId="4" xfId="0" applyNumberFormat="1" applyFont="1" applyBorder="1" applyAlignment="1">
      <alignment horizontal="right" vertical="top" wrapText="1"/>
    </xf>
    <xf numFmtId="0" fontId="21" fillId="0" borderId="9" xfId="0" applyFont="1" applyBorder="1" applyAlignment="1">
      <alignment horizontal="right" vertical="top" wrapText="1"/>
    </xf>
    <xf numFmtId="3" fontId="21" fillId="0" borderId="9" xfId="0" applyNumberFormat="1" applyFont="1" applyBorder="1" applyAlignment="1">
      <alignment horizontal="right" vertical="top" wrapText="1"/>
    </xf>
    <xf numFmtId="0" fontId="21" fillId="0" borderId="4" xfId="0" applyFont="1" applyBorder="1" applyAlignment="1">
      <alignment horizontal="right" vertical="top" wrapText="1"/>
    </xf>
    <xf numFmtId="3" fontId="21" fillId="0" borderId="14" xfId="0" applyNumberFormat="1" applyFont="1" applyBorder="1" applyAlignment="1">
      <alignment horizontal="right" vertical="top" wrapText="1"/>
    </xf>
    <xf numFmtId="0" fontId="6" fillId="0" borderId="8" xfId="0" applyFont="1" applyBorder="1" applyAlignment="1">
      <alignment horizontal="left" vertical="top" wrapText="1"/>
    </xf>
    <xf numFmtId="0" fontId="21" fillId="0" borderId="3" xfId="0" applyFont="1" applyBorder="1" applyAlignment="1">
      <alignment horizontal="right" vertical="top" wrapText="1"/>
    </xf>
    <xf numFmtId="3" fontId="21" fillId="0" borderId="6" xfId="0" applyNumberFormat="1" applyFont="1" applyBorder="1" applyAlignment="1">
      <alignment horizontal="right" vertical="top" wrapText="1"/>
    </xf>
    <xf numFmtId="3" fontId="21" fillId="0" borderId="8" xfId="0" applyNumberFormat="1" applyFont="1" applyBorder="1" applyAlignment="1">
      <alignment vertical="top"/>
    </xf>
    <xf numFmtId="0" fontId="4" fillId="0" borderId="13" xfId="0" applyFont="1" applyBorder="1" applyAlignment="1">
      <alignment vertical="top" wrapText="1"/>
    </xf>
    <xf numFmtId="0" fontId="18" fillId="0" borderId="31" xfId="0" applyFont="1" applyBorder="1" applyAlignment="1">
      <alignment horizontal="left" vertical="top" wrapText="1"/>
    </xf>
    <xf numFmtId="0" fontId="18" fillId="0" borderId="48" xfId="0" applyFont="1" applyBorder="1" applyAlignment="1">
      <alignment horizontal="left" vertical="top" wrapText="1"/>
    </xf>
    <xf numFmtId="0" fontId="21" fillId="0" borderId="48" xfId="0" applyFont="1" applyBorder="1" applyAlignment="1">
      <alignment horizontal="center" vertical="center" wrapText="1"/>
    </xf>
    <xf numFmtId="0" fontId="21" fillId="0" borderId="48" xfId="0" applyFont="1" applyBorder="1" applyAlignment="1">
      <alignment horizontal="right" vertical="top"/>
    </xf>
    <xf numFmtId="0" fontId="4" fillId="0" borderId="0" xfId="0" applyFont="1"/>
    <xf numFmtId="165" fontId="4" fillId="0" borderId="11" xfId="2" applyNumberFormat="1" applyFont="1" applyBorder="1" applyAlignment="1">
      <alignment vertical="top" wrapText="1"/>
    </xf>
    <xf numFmtId="165" fontId="4" fillId="0" borderId="11" xfId="2" applyNumberFormat="1" applyFont="1" applyBorder="1" applyAlignment="1"/>
    <xf numFmtId="165" fontId="13" fillId="0" borderId="11" xfId="2" applyNumberFormat="1" applyFont="1" applyBorder="1" applyAlignment="1">
      <alignment vertical="top" wrapText="1"/>
    </xf>
    <xf numFmtId="0" fontId="9" fillId="0" borderId="3" xfId="0" applyFont="1" applyFill="1" applyBorder="1" applyAlignment="1">
      <alignment horizontal="left" vertical="top" wrapText="1"/>
    </xf>
    <xf numFmtId="0" fontId="3" fillId="0" borderId="6" xfId="0" applyFont="1" applyBorder="1" applyAlignment="1">
      <alignment horizontal="left" vertical="top" wrapText="1"/>
    </xf>
    <xf numFmtId="2" fontId="9" fillId="3" borderId="3" xfId="0" applyNumberFormat="1" applyFont="1" applyFill="1" applyBorder="1" applyAlignment="1">
      <alignment horizontal="right" vertical="top"/>
    </xf>
    <xf numFmtId="0" fontId="4" fillId="0" borderId="31" xfId="0" applyFont="1" applyFill="1" applyBorder="1" applyAlignment="1">
      <alignment vertical="top" wrapText="1"/>
    </xf>
    <xf numFmtId="0" fontId="3" fillId="0" borderId="3" xfId="0" applyFont="1" applyFill="1" applyBorder="1" applyAlignment="1">
      <alignment vertical="top" wrapText="1"/>
    </xf>
    <xf numFmtId="0" fontId="4" fillId="0" borderId="4" xfId="0" applyFont="1" applyFill="1" applyBorder="1" applyAlignment="1">
      <alignment vertical="top" wrapText="1"/>
    </xf>
    <xf numFmtId="0" fontId="4" fillId="0" borderId="13" xfId="0" applyFont="1" applyBorder="1" applyAlignment="1">
      <alignment vertical="center" wrapText="1"/>
    </xf>
    <xf numFmtId="0" fontId="4" fillId="0" borderId="2" xfId="0" applyFont="1" applyBorder="1" applyAlignment="1">
      <alignment vertical="top" wrapText="1"/>
    </xf>
    <xf numFmtId="0" fontId="9" fillId="0" borderId="17" xfId="0" applyFont="1" applyBorder="1" applyAlignment="1">
      <alignment horizontal="center" vertical="center"/>
    </xf>
    <xf numFmtId="0" fontId="9" fillId="0" borderId="8" xfId="0" applyFont="1" applyBorder="1" applyAlignment="1">
      <alignment horizontal="right" vertical="top" wrapText="1"/>
    </xf>
    <xf numFmtId="0" fontId="27" fillId="0" borderId="8" xfId="0" applyFont="1" applyFill="1" applyBorder="1" applyAlignment="1">
      <alignment horizontal="right" vertical="top" wrapText="1"/>
    </xf>
    <xf numFmtId="0" fontId="3" fillId="0" borderId="6" xfId="0" applyFont="1" applyFill="1" applyBorder="1" applyAlignment="1">
      <alignment horizontal="center" vertical="center" wrapText="1"/>
    </xf>
    <xf numFmtId="0" fontId="21" fillId="0" borderId="4" xfId="0" applyFont="1" applyBorder="1" applyAlignment="1">
      <alignment horizontal="left" vertical="top" wrapText="1"/>
    </xf>
    <xf numFmtId="0" fontId="10" fillId="0" borderId="8" xfId="0" applyFont="1" applyFill="1" applyBorder="1" applyAlignment="1">
      <alignment horizontal="center" vertical="center" wrapText="1"/>
    </xf>
    <xf numFmtId="0" fontId="4" fillId="0" borderId="4" xfId="0" applyFont="1" applyBorder="1" applyAlignment="1">
      <alignment horizontal="center" vertical="center" wrapText="1"/>
    </xf>
    <xf numFmtId="0" fontId="21" fillId="0" borderId="3" xfId="0" applyFont="1" applyBorder="1" applyAlignment="1">
      <alignment horizontal="center" vertical="center" wrapText="1"/>
    </xf>
    <xf numFmtId="3" fontId="21" fillId="0" borderId="3" xfId="0" applyNumberFormat="1" applyFont="1" applyBorder="1" applyAlignment="1">
      <alignment horizontal="right" vertical="top" wrapText="1"/>
    </xf>
    <xf numFmtId="0" fontId="21" fillId="0" borderId="8" xfId="0" applyFont="1" applyBorder="1" applyAlignment="1">
      <alignment horizontal="right" vertical="top" wrapText="1"/>
    </xf>
    <xf numFmtId="3" fontId="21" fillId="0" borderId="8" xfId="0" applyNumberFormat="1" applyFont="1" applyBorder="1" applyAlignment="1">
      <alignment horizontal="right" vertical="top" wrapText="1"/>
    </xf>
    <xf numFmtId="0" fontId="27" fillId="0" borderId="0" xfId="0" applyFont="1" applyAlignment="1">
      <alignment horizontal="right" vertical="center"/>
    </xf>
    <xf numFmtId="8" fontId="4" fillId="0" borderId="0" xfId="0" applyNumberFormat="1" applyFont="1"/>
    <xf numFmtId="0" fontId="4" fillId="0" borderId="54" xfId="0" applyFont="1" applyBorder="1" applyAlignment="1">
      <alignment horizontal="left" vertical="top" wrapText="1"/>
    </xf>
    <xf numFmtId="0" fontId="3" fillId="0" borderId="7" xfId="0" applyFont="1" applyFill="1" applyBorder="1" applyAlignment="1">
      <alignment horizontal="center" vertical="center" wrapText="1"/>
    </xf>
    <xf numFmtId="0" fontId="21" fillId="0" borderId="17" xfId="0" applyFont="1" applyBorder="1" applyAlignment="1">
      <alignment horizontal="right" vertical="top" wrapText="1"/>
    </xf>
    <xf numFmtId="0" fontId="9" fillId="0" borderId="17" xfId="0" applyFont="1" applyBorder="1" applyAlignment="1">
      <alignment horizontal="right" vertical="top"/>
    </xf>
    <xf numFmtId="3" fontId="4" fillId="0" borderId="34" xfId="0" applyNumberFormat="1" applyFont="1" applyBorder="1" applyAlignment="1">
      <alignment horizontal="right" vertical="top" wrapText="1"/>
    </xf>
    <xf numFmtId="3" fontId="4" fillId="0" borderId="35" xfId="0" applyNumberFormat="1" applyFont="1" applyBorder="1" applyAlignment="1">
      <alignment horizontal="right" vertical="top" wrapText="1"/>
    </xf>
    <xf numFmtId="0" fontId="4" fillId="0" borderId="48" xfId="0" applyFont="1" applyBorder="1" applyAlignment="1">
      <alignment vertical="top" wrapText="1"/>
    </xf>
    <xf numFmtId="0" fontId="4" fillId="0" borderId="48" xfId="0" applyFont="1" applyBorder="1" applyAlignment="1">
      <alignment horizontal="left" vertical="top" wrapText="1"/>
    </xf>
    <xf numFmtId="0" fontId="21" fillId="0" borderId="8" xfId="0" applyFont="1" applyBorder="1" applyAlignment="1">
      <alignment horizontal="left" vertical="top" wrapText="1"/>
    </xf>
    <xf numFmtId="0" fontId="4" fillId="0" borderId="9" xfId="0" applyFont="1" applyBorder="1" applyAlignment="1">
      <alignment horizontal="left" vertical="top" wrapText="1"/>
    </xf>
    <xf numFmtId="0" fontId="3" fillId="0" borderId="1" xfId="0" applyFont="1" applyFill="1" applyBorder="1" applyAlignment="1">
      <alignment horizontal="center" vertical="center" wrapText="1"/>
    </xf>
    <xf numFmtId="0" fontId="4" fillId="0" borderId="67" xfId="0" applyFont="1" applyBorder="1" applyAlignment="1">
      <alignment vertical="top" wrapText="1"/>
    </xf>
    <xf numFmtId="0" fontId="4" fillId="0" borderId="56" xfId="0" applyFont="1" applyBorder="1" applyAlignment="1">
      <alignment horizontal="left" vertical="top" wrapText="1"/>
    </xf>
    <xf numFmtId="0" fontId="4" fillId="0" borderId="54" xfId="0" applyFont="1" applyBorder="1" applyAlignment="1">
      <alignment vertical="top" wrapText="1"/>
    </xf>
    <xf numFmtId="3" fontId="9" fillId="0" borderId="68" xfId="0" applyNumberFormat="1" applyFont="1" applyBorder="1" applyAlignment="1">
      <alignment horizontal="right" vertical="top" wrapText="1"/>
    </xf>
    <xf numFmtId="0" fontId="9" fillId="0" borderId="68" xfId="0" applyFont="1" applyBorder="1" applyAlignment="1">
      <alignment horizontal="right" vertical="top" wrapText="1"/>
    </xf>
    <xf numFmtId="3" fontId="9" fillId="0" borderId="54" xfId="0" applyNumberFormat="1" applyFont="1" applyBorder="1" applyAlignment="1">
      <alignment horizontal="right" vertical="top" wrapText="1"/>
    </xf>
    <xf numFmtId="0" fontId="9" fillId="0" borderId="54" xfId="0" applyFont="1" applyBorder="1" applyAlignment="1">
      <alignment horizontal="right" vertical="top" wrapText="1"/>
    </xf>
    <xf numFmtId="3" fontId="9" fillId="0" borderId="69" xfId="0" applyNumberFormat="1" applyFont="1" applyBorder="1" applyAlignment="1">
      <alignment horizontal="righ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1" fillId="0" borderId="0" xfId="0" applyFont="1" applyAlignment="1">
      <alignment horizontal="right"/>
    </xf>
    <xf numFmtId="0" fontId="7" fillId="13" borderId="16" xfId="0" applyFont="1" applyFill="1" applyBorder="1" applyAlignment="1">
      <alignment vertical="center"/>
    </xf>
    <xf numFmtId="0" fontId="4" fillId="0" borderId="10" xfId="0" applyFont="1" applyBorder="1" applyAlignment="1">
      <alignment vertical="top" wrapText="1"/>
    </xf>
    <xf numFmtId="0" fontId="4" fillId="0" borderId="8" xfId="0" applyFont="1" applyBorder="1" applyAlignment="1">
      <alignment horizontal="left" vertical="top" wrapText="1"/>
    </xf>
    <xf numFmtId="0" fontId="4" fillId="0" borderId="8" xfId="0" applyFont="1" applyBorder="1" applyAlignment="1">
      <alignment horizontal="center" vertical="center"/>
    </xf>
    <xf numFmtId="0" fontId="4" fillId="0" borderId="34" xfId="0" applyFont="1" applyBorder="1" applyAlignment="1">
      <alignment horizontal="right" vertical="top" wrapText="1"/>
    </xf>
    <xf numFmtId="44" fontId="4" fillId="0" borderId="23" xfId="2" applyFont="1" applyBorder="1" applyAlignment="1">
      <alignment horizontal="right" vertical="top" wrapText="1"/>
    </xf>
    <xf numFmtId="0" fontId="4" fillId="0" borderId="13" xfId="0" applyFont="1" applyBorder="1"/>
    <xf numFmtId="0" fontId="4" fillId="0" borderId="11" xfId="0" applyFont="1" applyBorder="1" applyAlignment="1">
      <alignment horizontal="left" vertical="top" wrapText="1"/>
    </xf>
    <xf numFmtId="0" fontId="4" fillId="0" borderId="0" xfId="0" applyFont="1" applyBorder="1" applyAlignment="1">
      <alignment vertical="top" wrapText="1"/>
    </xf>
    <xf numFmtId="0" fontId="21" fillId="13" borderId="30" xfId="0" applyFont="1" applyFill="1" applyBorder="1" applyAlignment="1">
      <alignment horizontal="center" vertical="center" wrapText="1"/>
    </xf>
    <xf numFmtId="0" fontId="21" fillId="13" borderId="30" xfId="0" applyFont="1" applyFill="1" applyBorder="1"/>
    <xf numFmtId="0" fontId="21" fillId="13" borderId="27" xfId="0" applyFont="1" applyFill="1" applyBorder="1"/>
    <xf numFmtId="167" fontId="9" fillId="0" borderId="32" xfId="0" applyNumberFormat="1" applyFont="1" applyBorder="1" applyAlignment="1">
      <alignment horizontal="right" vertical="top" wrapText="1"/>
    </xf>
    <xf numFmtId="0" fontId="9" fillId="0" borderId="12" xfId="0" applyFont="1" applyBorder="1" applyAlignment="1">
      <alignment horizontal="right" vertical="top" wrapText="1"/>
    </xf>
    <xf numFmtId="0" fontId="9" fillId="3" borderId="8" xfId="0" applyFont="1" applyFill="1" applyBorder="1" applyAlignment="1">
      <alignment vertical="top" wrapText="1"/>
    </xf>
    <xf numFmtId="0" fontId="4" fillId="0" borderId="8" xfId="0" applyFont="1" applyBorder="1" applyAlignment="1">
      <alignment horizontal="left" vertical="top" wrapText="1"/>
    </xf>
    <xf numFmtId="3" fontId="4" fillId="0" borderId="19" xfId="0" applyNumberFormat="1" applyFont="1" applyBorder="1" applyAlignment="1">
      <alignment horizontal="right" vertical="top" wrapText="1"/>
    </xf>
    <xf numFmtId="0" fontId="4" fillId="0" borderId="3" xfId="0" applyFont="1" applyBorder="1" applyAlignment="1">
      <alignment horizontal="left" vertical="top" wrapText="1"/>
    </xf>
    <xf numFmtId="0" fontId="4" fillId="0" borderId="65" xfId="0" applyFont="1" applyBorder="1" applyAlignment="1">
      <alignment vertical="top" wrapText="1"/>
    </xf>
    <xf numFmtId="0" fontId="4" fillId="0" borderId="65" xfId="0" applyFont="1" applyBorder="1" applyAlignment="1">
      <alignment horizontal="left" vertical="top" wrapText="1"/>
    </xf>
    <xf numFmtId="0" fontId="4" fillId="0" borderId="48" xfId="0" applyFont="1" applyBorder="1"/>
    <xf numFmtId="0" fontId="4" fillId="0" borderId="71" xfId="0" applyFont="1" applyBorder="1" applyAlignment="1">
      <alignment vertical="center" wrapText="1"/>
    </xf>
    <xf numFmtId="165" fontId="4" fillId="0" borderId="71" xfId="2" applyNumberFormat="1" applyFont="1" applyBorder="1" applyAlignment="1">
      <alignment horizontal="right" vertical="top" wrapText="1"/>
    </xf>
    <xf numFmtId="0" fontId="4" fillId="0" borderId="72" xfId="0" applyFont="1" applyBorder="1" applyAlignment="1">
      <alignment vertical="center" wrapText="1"/>
    </xf>
    <xf numFmtId="165" fontId="4" fillId="0" borderId="70" xfId="2" applyNumberFormat="1" applyFont="1" applyBorder="1" applyAlignment="1">
      <alignment horizontal="right" vertical="center"/>
    </xf>
    <xf numFmtId="165" fontId="4" fillId="0" borderId="72" xfId="2" applyNumberFormat="1" applyFont="1" applyBorder="1" applyAlignment="1">
      <alignment horizontal="right" vertical="top" wrapText="1"/>
    </xf>
    <xf numFmtId="0" fontId="4" fillId="0" borderId="73" xfId="0" applyFont="1" applyFill="1" applyBorder="1" applyAlignment="1">
      <alignment vertical="center" wrapText="1"/>
    </xf>
    <xf numFmtId="165" fontId="4" fillId="0" borderId="73" xfId="2" applyNumberFormat="1" applyFont="1" applyBorder="1" applyAlignment="1">
      <alignment horizontal="right"/>
    </xf>
    <xf numFmtId="0" fontId="3" fillId="0" borderId="3" xfId="0" applyFont="1" applyBorder="1" applyAlignment="1">
      <alignment vertical="top" wrapText="1"/>
    </xf>
    <xf numFmtId="0" fontId="3" fillId="7" borderId="33" xfId="0"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3" borderId="8" xfId="0" applyFont="1" applyFill="1" applyBorder="1" applyAlignment="1">
      <alignment horizontal="left" vertical="top" wrapText="1"/>
    </xf>
    <xf numFmtId="0" fontId="7" fillId="9" borderId="4" xfId="0" applyFont="1" applyFill="1" applyBorder="1"/>
    <xf numFmtId="0" fontId="0" fillId="9" borderId="64" xfId="0" applyFill="1" applyBorder="1"/>
    <xf numFmtId="0" fontId="0" fillId="0" borderId="17" xfId="0" applyBorder="1"/>
    <xf numFmtId="0" fontId="4" fillId="3" borderId="17" xfId="0" applyFont="1" applyFill="1" applyBorder="1" applyAlignment="1">
      <alignment vertical="top" wrapText="1"/>
    </xf>
    <xf numFmtId="0" fontId="7" fillId="10" borderId="16" xfId="0" applyFont="1" applyFill="1" applyBorder="1"/>
    <xf numFmtId="0" fontId="0" fillId="10" borderId="18" xfId="0" applyFill="1" applyBorder="1"/>
    <xf numFmtId="0" fontId="0" fillId="10" borderId="28" xfId="0" applyFill="1" applyBorder="1"/>
    <xf numFmtId="0" fontId="4" fillId="0" borderId="46" xfId="0" applyFont="1" applyFill="1" applyBorder="1" applyAlignment="1">
      <alignment vertical="top" wrapText="1"/>
    </xf>
    <xf numFmtId="0" fontId="4" fillId="0" borderId="45" xfId="0" applyFont="1" applyFill="1" applyBorder="1" applyAlignment="1">
      <alignment vertical="top" wrapText="1"/>
    </xf>
    <xf numFmtId="0" fontId="3" fillId="0" borderId="0" xfId="0" applyFont="1" applyBorder="1" applyAlignment="1">
      <alignment vertical="center"/>
    </xf>
    <xf numFmtId="0" fontId="4" fillId="0" borderId="26" xfId="0" applyFont="1" applyBorder="1" applyAlignment="1">
      <alignment vertical="center" wrapText="1"/>
    </xf>
    <xf numFmtId="0" fontId="4" fillId="0" borderId="23" xfId="0" applyFont="1" applyBorder="1" applyAlignment="1">
      <alignment vertical="center" wrapText="1"/>
    </xf>
    <xf numFmtId="0" fontId="3" fillId="0" borderId="26" xfId="0" applyFont="1" applyBorder="1" applyAlignment="1">
      <alignment vertical="center"/>
    </xf>
    <xf numFmtId="0" fontId="9" fillId="0" borderId="21" xfId="0" applyFont="1" applyBorder="1" applyAlignment="1">
      <alignment vertical="top" wrapText="1"/>
    </xf>
    <xf numFmtId="0" fontId="9" fillId="0" borderId="17" xfId="0" applyFont="1" applyBorder="1" applyAlignment="1">
      <alignment vertical="top" wrapText="1"/>
    </xf>
    <xf numFmtId="165" fontId="4" fillId="3" borderId="23" xfId="2" applyNumberFormat="1" applyFont="1" applyFill="1" applyBorder="1" applyAlignment="1">
      <alignment horizontal="right" vertical="top" wrapText="1"/>
    </xf>
    <xf numFmtId="165" fontId="4" fillId="3" borderId="28" xfId="2" applyNumberFormat="1" applyFont="1" applyFill="1" applyBorder="1" applyAlignment="1">
      <alignment horizontal="right" vertical="center"/>
    </xf>
    <xf numFmtId="2" fontId="4" fillId="0" borderId="3" xfId="0" applyNumberFormat="1" applyFont="1" applyBorder="1"/>
    <xf numFmtId="165" fontId="13" fillId="3" borderId="24" xfId="2" applyNumberFormat="1" applyFont="1" applyFill="1" applyBorder="1" applyAlignment="1">
      <alignment horizontal="right" vertical="top" wrapText="1"/>
    </xf>
    <xf numFmtId="165" fontId="13" fillId="3" borderId="26" xfId="2" applyNumberFormat="1" applyFont="1" applyFill="1" applyBorder="1" applyAlignment="1">
      <alignment horizontal="right" vertical="top" wrapText="1"/>
    </xf>
    <xf numFmtId="165" fontId="3" fillId="3" borderId="28" xfId="2" applyNumberFormat="1" applyFont="1" applyFill="1" applyBorder="1" applyAlignment="1">
      <alignment horizontal="right" vertical="center"/>
    </xf>
    <xf numFmtId="165" fontId="4" fillId="3" borderId="24" xfId="2" applyNumberFormat="1" applyFont="1" applyFill="1" applyBorder="1" applyAlignment="1">
      <alignment horizontal="right"/>
    </xf>
    <xf numFmtId="0" fontId="4" fillId="3" borderId="21" xfId="0" applyFont="1" applyFill="1" applyBorder="1" applyAlignment="1">
      <alignment horizontal="right" vertical="top" wrapText="1"/>
    </xf>
    <xf numFmtId="3" fontId="4" fillId="3" borderId="31" xfId="0" applyNumberFormat="1" applyFont="1" applyFill="1" applyBorder="1" applyAlignment="1">
      <alignment horizontal="right" vertical="top" wrapText="1"/>
    </xf>
    <xf numFmtId="0" fontId="4" fillId="3" borderId="31" xfId="0" applyFont="1" applyFill="1" applyBorder="1" applyAlignment="1">
      <alignment horizontal="right" vertical="top" wrapText="1"/>
    </xf>
    <xf numFmtId="3" fontId="4" fillId="3" borderId="21" xfId="0" applyNumberFormat="1" applyFont="1" applyFill="1" applyBorder="1" applyAlignment="1">
      <alignment horizontal="right" vertical="top"/>
    </xf>
    <xf numFmtId="9" fontId="4" fillId="3" borderId="21" xfId="3" applyFont="1" applyFill="1" applyBorder="1" applyAlignment="1">
      <alignment horizontal="right" vertical="top"/>
    </xf>
    <xf numFmtId="3" fontId="4" fillId="3" borderId="22" xfId="0" applyNumberFormat="1" applyFont="1" applyFill="1" applyBorder="1" applyAlignment="1">
      <alignment horizontal="right" vertical="top"/>
    </xf>
    <xf numFmtId="9" fontId="4" fillId="0" borderId="0" xfId="3" applyFont="1" applyAlignment="1">
      <alignment horizontal="right" vertical="top"/>
    </xf>
    <xf numFmtId="0" fontId="4" fillId="3" borderId="21" xfId="0" applyFont="1" applyFill="1" applyBorder="1" applyAlignment="1">
      <alignment horizontal="left" vertical="top" wrapText="1"/>
    </xf>
    <xf numFmtId="0" fontId="13" fillId="3" borderId="31" xfId="0" applyFont="1" applyFill="1" applyBorder="1" applyAlignment="1">
      <alignment horizontal="left" vertical="top" wrapText="1"/>
    </xf>
    <xf numFmtId="9" fontId="4" fillId="0" borderId="31" xfId="3" applyFont="1" applyBorder="1" applyAlignment="1">
      <alignment horizontal="right" vertical="top" wrapText="1"/>
    </xf>
    <xf numFmtId="9" fontId="4" fillId="0" borderId="21" xfId="3" applyFont="1" applyBorder="1" applyAlignment="1">
      <alignment horizontal="right" vertical="top"/>
    </xf>
    <xf numFmtId="9" fontId="4" fillId="0" borderId="0" xfId="3" applyFont="1" applyAlignment="1">
      <alignment vertical="top"/>
    </xf>
    <xf numFmtId="0" fontId="6" fillId="0" borderId="3" xfId="0" applyFont="1" applyBorder="1" applyAlignment="1">
      <alignment horizontal="right" vertical="top" wrapText="1"/>
    </xf>
    <xf numFmtId="1" fontId="6" fillId="0" borderId="3" xfId="0" applyNumberFormat="1" applyFont="1" applyBorder="1" applyAlignment="1">
      <alignment horizontal="right" vertical="top" wrapText="1"/>
    </xf>
    <xf numFmtId="9" fontId="4" fillId="3" borderId="31" xfId="3" applyFont="1" applyFill="1" applyBorder="1" applyAlignment="1">
      <alignment horizontal="right" vertical="top" wrapText="1"/>
    </xf>
    <xf numFmtId="3" fontId="4" fillId="3" borderId="32" xfId="0" applyNumberFormat="1" applyFont="1" applyFill="1" applyBorder="1" applyAlignment="1">
      <alignment horizontal="right" vertical="top" wrapText="1"/>
    </xf>
    <xf numFmtId="0" fontId="4" fillId="3" borderId="3" xfId="0" applyFont="1" applyFill="1" applyBorder="1" applyAlignment="1">
      <alignment horizontal="right" vertical="top" wrapText="1"/>
    </xf>
    <xf numFmtId="3" fontId="4" fillId="3" borderId="3" xfId="0" applyNumberFormat="1" applyFont="1" applyFill="1" applyBorder="1" applyAlignment="1">
      <alignment horizontal="right" vertical="top" wrapText="1"/>
    </xf>
    <xf numFmtId="3" fontId="4" fillId="3" borderId="8" xfId="0" applyNumberFormat="1" applyFont="1" applyFill="1" applyBorder="1" applyAlignment="1">
      <alignment horizontal="right" vertical="top"/>
    </xf>
    <xf numFmtId="9" fontId="4" fillId="3" borderId="0" xfId="3" applyFont="1" applyFill="1" applyAlignment="1">
      <alignment horizontal="right" vertical="top"/>
    </xf>
    <xf numFmtId="164" fontId="4" fillId="3" borderId="12" xfId="1" applyNumberFormat="1" applyFont="1" applyFill="1" applyBorder="1" applyAlignment="1">
      <alignment horizontal="right" vertical="top"/>
    </xf>
    <xf numFmtId="0" fontId="4" fillId="0" borderId="46"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3" fontId="9" fillId="0" borderId="21" xfId="0" applyNumberFormat="1" applyFont="1" applyBorder="1" applyAlignment="1">
      <alignment horizontal="right" vertical="top" wrapText="1"/>
    </xf>
    <xf numFmtId="0" fontId="4" fillId="0" borderId="8" xfId="0" applyFont="1" applyBorder="1" applyAlignment="1">
      <alignment horizontal="center" vertical="center"/>
    </xf>
    <xf numFmtId="3" fontId="4" fillId="0" borderId="8" xfId="0" applyNumberFormat="1" applyFont="1" applyBorder="1" applyAlignment="1">
      <alignment horizontal="right" vertical="top" wrapText="1"/>
    </xf>
    <xf numFmtId="3" fontId="4" fillId="0" borderId="12" xfId="0" applyNumberFormat="1" applyFont="1" applyBorder="1" applyAlignment="1">
      <alignment horizontal="right" vertical="top" wrapText="1"/>
    </xf>
    <xf numFmtId="0" fontId="9" fillId="0" borderId="31"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4" fillId="0" borderId="41" xfId="0" applyFont="1" applyBorder="1"/>
    <xf numFmtId="0" fontId="4" fillId="0" borderId="68" xfId="0" applyFont="1" applyBorder="1" applyAlignment="1">
      <alignment horizontal="left" vertical="top" wrapText="1"/>
    </xf>
    <xf numFmtId="0" fontId="9" fillId="0" borderId="54" xfId="0" applyFont="1" applyBorder="1" applyAlignment="1">
      <alignment horizontal="left" vertical="top" wrapText="1"/>
    </xf>
    <xf numFmtId="0" fontId="4" fillId="0" borderId="21" xfId="0" applyFont="1" applyBorder="1" applyAlignment="1">
      <alignment horizontal="left" vertical="top" wrapText="1"/>
    </xf>
    <xf numFmtId="0" fontId="4" fillId="0" borderId="9" xfId="0" applyFont="1" applyBorder="1" applyAlignment="1">
      <alignment horizontal="left" vertical="top" wrapText="1"/>
    </xf>
    <xf numFmtId="0" fontId="3" fillId="0" borderId="4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0" fillId="0" borderId="12" xfId="0" applyBorder="1"/>
    <xf numFmtId="165" fontId="4" fillId="3" borderId="23" xfId="2" applyNumberFormat="1" applyFont="1" applyFill="1" applyBorder="1" applyAlignment="1">
      <alignment vertical="top" wrapText="1"/>
    </xf>
    <xf numFmtId="165" fontId="4" fillId="3" borderId="28" xfId="2" applyNumberFormat="1" applyFont="1" applyFill="1" applyBorder="1" applyAlignment="1">
      <alignment vertical="center"/>
    </xf>
    <xf numFmtId="165" fontId="4" fillId="3" borderId="24" xfId="2" applyNumberFormat="1" applyFont="1" applyFill="1" applyBorder="1" applyAlignment="1"/>
    <xf numFmtId="165" fontId="13" fillId="3" borderId="24" xfId="2" applyNumberFormat="1" applyFont="1" applyFill="1" applyBorder="1" applyAlignment="1">
      <alignment vertical="top" wrapText="1"/>
    </xf>
    <xf numFmtId="165" fontId="13" fillId="3" borderId="26" xfId="2" applyNumberFormat="1" applyFont="1" applyFill="1" applyBorder="1" applyAlignment="1">
      <alignment vertical="top" wrapText="1"/>
    </xf>
    <xf numFmtId="165" fontId="3" fillId="3" borderId="28" xfId="2" applyNumberFormat="1" applyFont="1" applyFill="1" applyBorder="1" applyAlignment="1">
      <alignment vertical="center"/>
    </xf>
    <xf numFmtId="3" fontId="9" fillId="0" borderId="17" xfId="0" applyNumberFormat="1" applyFont="1" applyBorder="1" applyAlignment="1">
      <alignment vertical="top" wrapText="1"/>
    </xf>
    <xf numFmtId="0" fontId="9" fillId="0" borderId="8" xfId="0" applyFont="1" applyBorder="1" applyAlignment="1">
      <alignment horizontal="center" vertical="center"/>
    </xf>
    <xf numFmtId="0" fontId="9" fillId="0" borderId="8" xfId="0" applyFont="1" applyBorder="1" applyAlignment="1">
      <alignment horizontal="right" vertical="top"/>
    </xf>
    <xf numFmtId="3" fontId="9" fillId="0" borderId="8" xfId="0" applyNumberFormat="1" applyFont="1" applyBorder="1" applyAlignment="1">
      <alignment horizontal="right" vertical="top"/>
    </xf>
    <xf numFmtId="3" fontId="9" fillId="0" borderId="9" xfId="0" applyNumberFormat="1" applyFont="1" applyBorder="1" applyAlignment="1">
      <alignment horizontal="right" vertical="top" wrapText="1"/>
    </xf>
    <xf numFmtId="3" fontId="9" fillId="0" borderId="21" xfId="0" applyNumberFormat="1" applyFont="1" applyFill="1" applyBorder="1" applyAlignment="1">
      <alignment horizontal="right" vertical="top" wrapText="1"/>
    </xf>
    <xf numFmtId="3" fontId="9" fillId="3" borderId="3" xfId="0" applyNumberFormat="1" applyFont="1" applyFill="1" applyBorder="1" applyAlignment="1">
      <alignment horizontal="right" vertical="top" wrapText="1"/>
    </xf>
    <xf numFmtId="3" fontId="9" fillId="3" borderId="8" xfId="0" applyNumberFormat="1" applyFont="1" applyFill="1" applyBorder="1" applyAlignment="1">
      <alignment horizontal="right" vertical="top" wrapText="1"/>
    </xf>
    <xf numFmtId="3" fontId="21" fillId="0" borderId="19" xfId="0" applyNumberFormat="1" applyFont="1" applyBorder="1" applyAlignment="1">
      <alignment horizontal="right" vertical="top"/>
    </xf>
    <xf numFmtId="0" fontId="3" fillId="0" borderId="0" xfId="0" applyFont="1" applyBorder="1" applyAlignment="1">
      <alignment vertical="center" wrapText="1"/>
    </xf>
    <xf numFmtId="165" fontId="3" fillId="3" borderId="27" xfId="2" applyNumberFormat="1" applyFont="1" applyFill="1" applyBorder="1" applyAlignment="1">
      <alignment horizontal="right" vertical="center"/>
    </xf>
    <xf numFmtId="0" fontId="3" fillId="0" borderId="23" xfId="0" applyFont="1" applyBorder="1" applyAlignment="1">
      <alignment vertical="center"/>
    </xf>
    <xf numFmtId="0" fontId="0" fillId="0" borderId="9" xfId="0" applyBorder="1"/>
    <xf numFmtId="0" fontId="4" fillId="3" borderId="3" xfId="0" applyFont="1" applyFill="1" applyBorder="1" applyAlignment="1">
      <alignment horizontal="right" vertical="top"/>
    </xf>
    <xf numFmtId="9" fontId="4" fillId="3" borderId="3" xfId="3" applyFont="1" applyFill="1" applyBorder="1" applyAlignment="1">
      <alignment horizontal="right" vertical="top" wrapText="1"/>
    </xf>
    <xf numFmtId="3" fontId="4" fillId="3" borderId="12" xfId="0" applyNumberFormat="1" applyFont="1" applyFill="1" applyBorder="1" applyAlignment="1">
      <alignment horizontal="right" vertical="top" wrapText="1"/>
    </xf>
    <xf numFmtId="0" fontId="4" fillId="0" borderId="17" xfId="0" applyFont="1" applyBorder="1" applyAlignment="1">
      <alignment horizontal="left" vertical="top" wrapText="1"/>
    </xf>
    <xf numFmtId="3" fontId="4" fillId="0" borderId="19" xfId="0" applyNumberFormat="1" applyFont="1" applyBorder="1" applyAlignment="1">
      <alignment horizontal="right" vertical="top" wrapText="1"/>
    </xf>
    <xf numFmtId="165" fontId="4" fillId="0" borderId="23" xfId="2" applyNumberFormat="1" applyFont="1" applyBorder="1" applyAlignment="1">
      <alignment horizontal="right" vertical="center"/>
    </xf>
    <xf numFmtId="0" fontId="0" fillId="0" borderId="30" xfId="0" applyBorder="1"/>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left" vertical="top" wrapText="1"/>
    </xf>
    <xf numFmtId="0" fontId="9" fillId="3" borderId="48" xfId="0" applyFont="1" applyFill="1" applyBorder="1" applyAlignment="1">
      <alignment horizontal="left" vertical="top" wrapText="1"/>
    </xf>
    <xf numFmtId="0" fontId="4" fillId="0" borderId="48" xfId="0" applyFont="1" applyFill="1" applyBorder="1" applyAlignment="1">
      <alignment horizontal="right" vertical="top" wrapText="1"/>
    </xf>
    <xf numFmtId="166" fontId="4" fillId="0" borderId="17" xfId="0" applyNumberFormat="1" applyFont="1" applyBorder="1" applyAlignment="1">
      <alignment horizontal="right" vertical="top" wrapText="1"/>
    </xf>
    <xf numFmtId="165" fontId="3" fillId="3" borderId="0" xfId="2" applyNumberFormat="1" applyFont="1" applyFill="1" applyBorder="1" applyAlignment="1">
      <alignment horizontal="right" vertical="center"/>
    </xf>
    <xf numFmtId="0" fontId="9" fillId="0" borderId="48" xfId="0" applyFont="1" applyBorder="1" applyAlignment="1">
      <alignment vertical="top" wrapText="1"/>
    </xf>
    <xf numFmtId="0" fontId="1" fillId="0" borderId="0" xfId="0" applyFont="1" applyBorder="1" applyAlignment="1"/>
    <xf numFmtId="0" fontId="4" fillId="0" borderId="28" xfId="0" applyFont="1" applyBorder="1"/>
    <xf numFmtId="0" fontId="9" fillId="0" borderId="4" xfId="0" applyFont="1" applyBorder="1" applyAlignment="1">
      <alignment horizontal="center" vertical="center"/>
    </xf>
    <xf numFmtId="0" fontId="9" fillId="0" borderId="4" xfId="0" applyFont="1" applyBorder="1" applyAlignment="1">
      <alignment horizontal="right" vertical="top" wrapText="1"/>
    </xf>
    <xf numFmtId="3" fontId="9" fillId="0" borderId="4" xfId="0" applyNumberFormat="1" applyFont="1" applyBorder="1" applyAlignment="1">
      <alignment horizontal="right" vertical="top" wrapText="1"/>
    </xf>
    <xf numFmtId="0" fontId="9" fillId="0" borderId="6" xfId="0" applyFont="1" applyBorder="1" applyAlignment="1">
      <alignment horizontal="center" vertical="center"/>
    </xf>
    <xf numFmtId="0" fontId="0" fillId="0" borderId="14" xfId="0" applyBorder="1"/>
    <xf numFmtId="0" fontId="10" fillId="0" borderId="17" xfId="0" applyFont="1" applyFill="1" applyBorder="1" applyAlignment="1">
      <alignment horizontal="center" vertical="center" wrapText="1"/>
    </xf>
    <xf numFmtId="0" fontId="0" fillId="0" borderId="19" xfId="0" applyBorder="1"/>
    <xf numFmtId="0" fontId="21" fillId="0" borderId="8" xfId="0" applyFont="1" applyBorder="1" applyAlignment="1">
      <alignment horizontal="center" vertical="center" wrapText="1"/>
    </xf>
    <xf numFmtId="0" fontId="21" fillId="0" borderId="17" xfId="0" applyFont="1" applyBorder="1" applyAlignment="1">
      <alignment horizontal="center" vertical="center" wrapText="1"/>
    </xf>
    <xf numFmtId="3" fontId="21" fillId="0" borderId="17" xfId="0" applyNumberFormat="1" applyFont="1" applyBorder="1" applyAlignment="1">
      <alignment horizontal="right" vertical="top" wrapText="1"/>
    </xf>
    <xf numFmtId="0" fontId="9" fillId="0" borderId="17" xfId="0" applyFont="1" applyBorder="1" applyAlignment="1">
      <alignment horizontal="center" vertical="center" wrapText="1"/>
    </xf>
    <xf numFmtId="0" fontId="4" fillId="0" borderId="52" xfId="0" applyFont="1" applyBorder="1" applyAlignment="1">
      <alignment vertical="top" wrapText="1"/>
    </xf>
    <xf numFmtId="0" fontId="0" fillId="3" borderId="0" xfId="0" applyFill="1"/>
    <xf numFmtId="0" fontId="4" fillId="3" borderId="43"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65" xfId="0" applyFont="1" applyFill="1" applyBorder="1" applyAlignment="1">
      <alignment horizontal="center" vertical="center"/>
    </xf>
    <xf numFmtId="3" fontId="4" fillId="3" borderId="43" xfId="0" applyNumberFormat="1" applyFont="1" applyFill="1" applyBorder="1" applyAlignment="1">
      <alignment horizontal="right" vertical="top" wrapText="1"/>
    </xf>
    <xf numFmtId="0" fontId="4" fillId="3" borderId="65" xfId="0" applyFont="1" applyFill="1" applyBorder="1" applyAlignment="1">
      <alignment horizontal="right" vertical="top" wrapText="1"/>
    </xf>
    <xf numFmtId="3" fontId="4" fillId="3" borderId="65" xfId="0" applyNumberFormat="1" applyFont="1" applyFill="1" applyBorder="1" applyAlignment="1">
      <alignment horizontal="right" vertical="top" wrapText="1"/>
    </xf>
    <xf numFmtId="3" fontId="4" fillId="3" borderId="66" xfId="0" applyNumberFormat="1" applyFont="1" applyFill="1" applyBorder="1" applyAlignment="1">
      <alignment horizontal="right" vertical="top" wrapText="1"/>
    </xf>
    <xf numFmtId="0" fontId="4" fillId="13" borderId="56" xfId="0" applyFont="1" applyFill="1" applyBorder="1" applyAlignment="1">
      <alignment vertical="top" wrapText="1"/>
    </xf>
    <xf numFmtId="0" fontId="4" fillId="13" borderId="57" xfId="0" applyFont="1" applyFill="1" applyBorder="1" applyAlignment="1">
      <alignment vertical="top" wrapText="1"/>
    </xf>
    <xf numFmtId="0" fontId="9" fillId="0" borderId="74"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8" xfId="0" applyFont="1" applyBorder="1" applyAlignment="1">
      <alignment horizontal="left" vertical="top" wrapText="1"/>
    </xf>
    <xf numFmtId="0" fontId="1" fillId="0" borderId="0" xfId="0" applyFont="1" applyAlignment="1">
      <alignment horizontal="right"/>
    </xf>
    <xf numFmtId="0" fontId="4" fillId="0" borderId="6" xfId="0" applyFont="1" applyBorder="1" applyAlignment="1">
      <alignment horizontal="left" vertical="top" wrapText="1"/>
    </xf>
    <xf numFmtId="0" fontId="4" fillId="0" borderId="17" xfId="0" applyFont="1" applyBorder="1" applyAlignment="1">
      <alignment horizontal="center" vertical="center"/>
    </xf>
    <xf numFmtId="3" fontId="4" fillId="0" borderId="12" xfId="0" applyNumberFormat="1" applyFont="1" applyBorder="1" applyAlignment="1">
      <alignment horizontal="right" vertical="top" wrapText="1"/>
    </xf>
    <xf numFmtId="3" fontId="4" fillId="0" borderId="8" xfId="0" applyNumberFormat="1" applyFont="1" applyBorder="1" applyAlignment="1">
      <alignment horizontal="right" vertical="top" wrapText="1"/>
    </xf>
    <xf numFmtId="0" fontId="4" fillId="0" borderId="8" xfId="0" applyFont="1" applyBorder="1" applyAlignment="1">
      <alignment horizontal="right" vertical="top" wrapText="1"/>
    </xf>
    <xf numFmtId="0" fontId="3" fillId="0" borderId="0" xfId="0" applyFont="1" applyAlignment="1">
      <alignment horizontal="right"/>
    </xf>
    <xf numFmtId="0" fontId="9" fillId="3" borderId="6" xfId="0" applyFont="1" applyFill="1" applyBorder="1" applyAlignment="1">
      <alignment horizontal="right" vertical="top"/>
    </xf>
    <xf numFmtId="3" fontId="9" fillId="3" borderId="6" xfId="0" applyNumberFormat="1" applyFont="1" applyFill="1" applyBorder="1" applyAlignment="1">
      <alignment horizontal="right" vertical="top" wrapText="1"/>
    </xf>
    <xf numFmtId="167" fontId="9" fillId="3" borderId="32" xfId="0" applyNumberFormat="1" applyFont="1" applyFill="1" applyBorder="1" applyAlignment="1">
      <alignment horizontal="right" vertical="top" wrapText="1"/>
    </xf>
    <xf numFmtId="167" fontId="9" fillId="3" borderId="50" xfId="0" applyNumberFormat="1" applyFont="1" applyFill="1" applyBorder="1" applyAlignment="1">
      <alignment horizontal="right" vertical="top" wrapText="1"/>
    </xf>
    <xf numFmtId="1" fontId="9" fillId="0" borderId="21" xfId="0" applyNumberFormat="1" applyFont="1" applyBorder="1" applyAlignment="1">
      <alignment horizontal="right" vertical="top" wrapText="1"/>
    </xf>
    <xf numFmtId="3" fontId="9" fillId="0" borderId="21" xfId="0" applyNumberFormat="1" applyFont="1" applyBorder="1" applyAlignment="1">
      <alignment vertical="top" wrapText="1"/>
    </xf>
    <xf numFmtId="0" fontId="9" fillId="3" borderId="31" xfId="0" applyFont="1" applyFill="1" applyBorder="1" applyAlignment="1">
      <alignment horizontal="right" vertical="top"/>
    </xf>
    <xf numFmtId="3" fontId="9" fillId="3" borderId="21" xfId="0" applyNumberFormat="1" applyFont="1" applyFill="1" applyBorder="1" applyAlignment="1">
      <alignment horizontal="right" vertical="top"/>
    </xf>
    <xf numFmtId="0" fontId="9" fillId="3" borderId="21" xfId="0" applyFont="1" applyFill="1" applyBorder="1" applyAlignment="1">
      <alignment horizontal="right" vertical="top" wrapText="1"/>
    </xf>
    <xf numFmtId="3" fontId="9" fillId="0" borderId="8" xfId="0" applyNumberFormat="1" applyFont="1" applyBorder="1" applyAlignment="1">
      <alignment vertical="top"/>
    </xf>
    <xf numFmtId="166" fontId="9" fillId="0" borderId="31" xfId="0" applyNumberFormat="1" applyFont="1" applyBorder="1" applyAlignment="1">
      <alignment horizontal="right" vertical="top" wrapText="1"/>
    </xf>
    <xf numFmtId="2" fontId="4" fillId="0" borderId="6" xfId="0" applyNumberFormat="1" applyFont="1" applyFill="1" applyBorder="1" applyAlignment="1">
      <alignment horizontal="right" vertical="top" wrapText="1"/>
    </xf>
    <xf numFmtId="0" fontId="4" fillId="3" borderId="0" xfId="0" applyFont="1" applyFill="1" applyAlignment="1">
      <alignment horizontal="right" vertical="top"/>
    </xf>
    <xf numFmtId="0" fontId="4" fillId="3" borderId="21" xfId="0" applyFont="1" applyFill="1" applyBorder="1" applyAlignment="1">
      <alignment horizontal="right" vertical="top"/>
    </xf>
    <xf numFmtId="6" fontId="4" fillId="3" borderId="3" xfId="0" applyNumberFormat="1" applyFont="1" applyFill="1" applyBorder="1" applyAlignment="1">
      <alignment horizontal="right" vertical="top" wrapText="1"/>
    </xf>
    <xf numFmtId="6" fontId="4" fillId="3" borderId="8" xfId="0" applyNumberFormat="1" applyFont="1" applyFill="1" applyBorder="1" applyAlignment="1">
      <alignment horizontal="right" vertical="top"/>
    </xf>
    <xf numFmtId="6" fontId="4" fillId="3" borderId="12" xfId="0" applyNumberFormat="1" applyFont="1" applyFill="1" applyBorder="1" applyAlignment="1">
      <alignment horizontal="right" vertical="top"/>
    </xf>
    <xf numFmtId="3" fontId="4" fillId="3" borderId="0" xfId="0" applyNumberFormat="1" applyFont="1" applyFill="1" applyAlignment="1">
      <alignment horizontal="right" vertical="top"/>
    </xf>
    <xf numFmtId="3" fontId="4" fillId="3" borderId="8" xfId="0" applyNumberFormat="1" applyFont="1" applyFill="1" applyBorder="1" applyAlignment="1">
      <alignment vertical="top"/>
    </xf>
    <xf numFmtId="0" fontId="4" fillId="3" borderId="0" xfId="0" applyFont="1" applyFill="1" applyAlignment="1">
      <alignment vertical="top"/>
    </xf>
    <xf numFmtId="3" fontId="4" fillId="3" borderId="12" xfId="0" applyNumberFormat="1" applyFont="1" applyFill="1" applyBorder="1" applyAlignment="1">
      <alignment horizontal="right" vertical="top"/>
    </xf>
    <xf numFmtId="0" fontId="6" fillId="3" borderId="3" xfId="0" applyFont="1" applyFill="1" applyBorder="1" applyAlignment="1">
      <alignment horizontal="right" vertical="top" wrapText="1"/>
    </xf>
    <xf numFmtId="9" fontId="4" fillId="3" borderId="0" xfId="3" applyFont="1" applyFill="1" applyAlignment="1">
      <alignment vertical="top"/>
    </xf>
    <xf numFmtId="168" fontId="4" fillId="3" borderId="21" xfId="0" applyNumberFormat="1" applyFont="1" applyFill="1" applyBorder="1" applyAlignment="1">
      <alignment horizontal="right" vertical="top" wrapText="1"/>
    </xf>
    <xf numFmtId="2" fontId="4" fillId="3" borderId="21" xfId="0" applyNumberFormat="1" applyFont="1" applyFill="1" applyBorder="1" applyAlignment="1">
      <alignment horizontal="right" vertical="top" wrapText="1"/>
    </xf>
    <xf numFmtId="0" fontId="4" fillId="3" borderId="8" xfId="0" applyFont="1" applyFill="1" applyBorder="1" applyAlignment="1">
      <alignment horizontal="right" vertical="top"/>
    </xf>
    <xf numFmtId="3" fontId="4" fillId="3" borderId="8" xfId="0" applyNumberFormat="1" applyFont="1" applyFill="1" applyBorder="1" applyAlignment="1">
      <alignment horizontal="right" vertical="top" wrapText="1"/>
    </xf>
    <xf numFmtId="0" fontId="4" fillId="3" borderId="8" xfId="0" applyFont="1" applyFill="1" applyBorder="1" applyAlignment="1">
      <alignment horizontal="right" vertical="top" wrapText="1"/>
    </xf>
    <xf numFmtId="0" fontId="4" fillId="3" borderId="8" xfId="0" applyFont="1" applyFill="1" applyBorder="1" applyAlignment="1">
      <alignment horizontal="center" vertical="center"/>
    </xf>
    <xf numFmtId="3" fontId="4" fillId="3" borderId="21" xfId="0" applyNumberFormat="1" applyFont="1" applyFill="1" applyBorder="1" applyAlignment="1">
      <alignment horizontal="right" vertical="top" wrapText="1"/>
    </xf>
    <xf numFmtId="0" fontId="6" fillId="3" borderId="31" xfId="0" applyFont="1" applyFill="1" applyBorder="1" applyAlignment="1">
      <alignment horizontal="right" vertical="top" wrapText="1"/>
    </xf>
    <xf numFmtId="6" fontId="4" fillId="3" borderId="31" xfId="0" applyNumberFormat="1" applyFont="1" applyFill="1" applyBorder="1" applyAlignment="1">
      <alignment horizontal="right" vertical="top" wrapText="1"/>
    </xf>
    <xf numFmtId="6" fontId="4" fillId="3" borderId="32" xfId="0" applyNumberFormat="1" applyFont="1" applyFill="1" applyBorder="1" applyAlignment="1">
      <alignment horizontal="right" vertical="top" wrapText="1"/>
    </xf>
    <xf numFmtId="166" fontId="4" fillId="3" borderId="3" xfId="0" applyNumberFormat="1" applyFont="1" applyFill="1" applyBorder="1" applyAlignment="1">
      <alignment horizontal="right" vertical="top" wrapText="1"/>
    </xf>
    <xf numFmtId="1" fontId="4" fillId="3" borderId="31" xfId="0" applyNumberFormat="1" applyFont="1" applyFill="1" applyBorder="1" applyAlignment="1">
      <alignment horizontal="right" vertical="top" wrapText="1"/>
    </xf>
    <xf numFmtId="1" fontId="6" fillId="3" borderId="31" xfId="0" applyNumberFormat="1" applyFont="1" applyFill="1" applyBorder="1" applyAlignment="1">
      <alignment horizontal="right" vertical="top" wrapText="1"/>
    </xf>
    <xf numFmtId="1" fontId="4" fillId="3" borderId="32" xfId="0" applyNumberFormat="1" applyFont="1" applyFill="1" applyBorder="1" applyAlignment="1">
      <alignment horizontal="right" vertical="top" wrapText="1"/>
    </xf>
    <xf numFmtId="1" fontId="4" fillId="3" borderId="3" xfId="0" applyNumberFormat="1" applyFont="1" applyFill="1" applyBorder="1" applyAlignment="1">
      <alignment horizontal="right" vertical="top" wrapText="1"/>
    </xf>
    <xf numFmtId="3" fontId="4" fillId="3" borderId="0" xfId="0" applyNumberFormat="1" applyFont="1" applyFill="1" applyBorder="1" applyAlignment="1">
      <alignment horizontal="right" vertical="top"/>
    </xf>
    <xf numFmtId="0" fontId="6" fillId="3" borderId="21" xfId="0" applyFont="1" applyFill="1" applyBorder="1" applyAlignment="1">
      <alignment horizontal="right" vertical="top" wrapText="1"/>
    </xf>
    <xf numFmtId="0" fontId="4" fillId="3" borderId="0" xfId="0" applyFont="1" applyFill="1" applyBorder="1" applyAlignment="1">
      <alignment vertical="top"/>
    </xf>
    <xf numFmtId="1" fontId="4" fillId="3" borderId="8" xfId="0" applyNumberFormat="1" applyFont="1" applyFill="1" applyBorder="1" applyAlignment="1">
      <alignment horizontal="right" vertical="top"/>
    </xf>
    <xf numFmtId="0" fontId="4" fillId="3" borderId="0" xfId="0" applyFont="1" applyFill="1" applyBorder="1" applyAlignment="1">
      <alignment horizontal="right" vertical="top"/>
    </xf>
    <xf numFmtId="0" fontId="3" fillId="4" borderId="60" xfId="0" applyFont="1" applyFill="1" applyBorder="1" applyAlignment="1">
      <alignment horizontal="center" vertical="top" wrapText="1"/>
    </xf>
    <xf numFmtId="0" fontId="7" fillId="12" borderId="55" xfId="0" applyFont="1" applyFill="1" applyBorder="1"/>
    <xf numFmtId="0" fontId="0" fillId="12" borderId="56" xfId="0" applyFill="1" applyBorder="1"/>
    <xf numFmtId="0" fontId="0" fillId="12" borderId="57" xfId="0" applyFill="1" applyBorder="1"/>
    <xf numFmtId="0" fontId="3" fillId="5" borderId="74"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3" fillId="5" borderId="65" xfId="0" applyFont="1" applyFill="1" applyBorder="1" applyAlignment="1">
      <alignment horizontal="center" vertical="center" wrapText="1"/>
    </xf>
    <xf numFmtId="0" fontId="3" fillId="5" borderId="43" xfId="0" applyFont="1" applyFill="1" applyBorder="1" applyAlignment="1">
      <alignment horizontal="center" vertical="top" wrapText="1"/>
    </xf>
    <xf numFmtId="0" fontId="7" fillId="8" borderId="55" xfId="0" applyFont="1" applyFill="1" applyBorder="1" applyAlignment="1">
      <alignment vertical="center"/>
    </xf>
    <xf numFmtId="0" fontId="0" fillId="8" borderId="56" xfId="0" applyFill="1" applyBorder="1" applyAlignment="1">
      <alignment vertical="center"/>
    </xf>
    <xf numFmtId="0" fontId="0" fillId="8" borderId="57" xfId="0" applyFill="1" applyBorder="1" applyAlignment="1">
      <alignment vertical="center"/>
    </xf>
    <xf numFmtId="0" fontId="7" fillId="9" borderId="55" xfId="0" applyFont="1" applyFill="1" applyBorder="1" applyAlignment="1">
      <alignment vertical="center"/>
    </xf>
    <xf numFmtId="0" fontId="22" fillId="9" borderId="56" xfId="0" applyFont="1" applyFill="1" applyBorder="1" applyAlignment="1">
      <alignment vertical="center"/>
    </xf>
    <xf numFmtId="0" fontId="22" fillId="9" borderId="57" xfId="0" applyFont="1" applyFill="1" applyBorder="1" applyAlignment="1">
      <alignment vertical="center"/>
    </xf>
    <xf numFmtId="0" fontId="7" fillId="10" borderId="55" xfId="0" applyFont="1" applyFill="1" applyBorder="1" applyAlignment="1">
      <alignment vertical="center"/>
    </xf>
    <xf numFmtId="0" fontId="22" fillId="10" borderId="56" xfId="0" applyFont="1" applyFill="1" applyBorder="1" applyAlignment="1">
      <alignment vertical="center"/>
    </xf>
    <xf numFmtId="0" fontId="22" fillId="10" borderId="57" xfId="0" applyFont="1" applyFill="1" applyBorder="1" applyAlignment="1">
      <alignment vertical="center"/>
    </xf>
    <xf numFmtId="0" fontId="22" fillId="12" borderId="56" xfId="0" applyFont="1" applyFill="1" applyBorder="1"/>
    <xf numFmtId="0" fontId="22" fillId="12" borderId="57" xfId="0" applyFont="1" applyFill="1" applyBorder="1"/>
    <xf numFmtId="0" fontId="4" fillId="2" borderId="56" xfId="0" applyFont="1" applyFill="1" applyBorder="1"/>
    <xf numFmtId="0" fontId="4" fillId="2" borderId="57" xfId="0" applyFont="1" applyFill="1" applyBorder="1"/>
    <xf numFmtId="0" fontId="22" fillId="8" borderId="56" xfId="0" applyFont="1" applyFill="1" applyBorder="1"/>
    <xf numFmtId="0" fontId="22" fillId="8" borderId="57" xfId="0" applyFont="1" applyFill="1" applyBorder="1"/>
    <xf numFmtId="0" fontId="3" fillId="6" borderId="60" xfId="0" applyFont="1" applyFill="1" applyBorder="1" applyAlignment="1">
      <alignment horizontal="center" vertical="top" wrapText="1"/>
    </xf>
    <xf numFmtId="0" fontId="22" fillId="9" borderId="56" xfId="0" applyFont="1" applyFill="1" applyBorder="1"/>
    <xf numFmtId="0" fontId="22" fillId="9" borderId="57" xfId="0" applyFont="1" applyFill="1" applyBorder="1"/>
    <xf numFmtId="0" fontId="7" fillId="2" borderId="55" xfId="0" applyFont="1" applyFill="1" applyBorder="1" applyAlignment="1">
      <alignment vertical="center"/>
    </xf>
    <xf numFmtId="0" fontId="7" fillId="12" borderId="55" xfId="0" applyFont="1" applyFill="1" applyBorder="1" applyAlignment="1">
      <alignment vertical="center"/>
    </xf>
    <xf numFmtId="0" fontId="4" fillId="8" borderId="56" xfId="0" applyFont="1" applyFill="1" applyBorder="1"/>
    <xf numFmtId="0" fontId="21" fillId="8" borderId="56" xfId="0" applyFont="1" applyFill="1" applyBorder="1"/>
    <xf numFmtId="0" fontId="21" fillId="8" borderId="57" xfId="0" applyFont="1" applyFill="1" applyBorder="1"/>
    <xf numFmtId="0" fontId="27" fillId="11" borderId="43" xfId="0" applyFont="1" applyFill="1" applyBorder="1" applyAlignment="1">
      <alignment horizontal="center" vertical="center" wrapText="1"/>
    </xf>
    <xf numFmtId="0" fontId="27" fillId="11" borderId="62" xfId="0" applyFont="1" applyFill="1" applyBorder="1" applyAlignment="1">
      <alignment horizontal="center" vertical="center" wrapText="1"/>
    </xf>
    <xf numFmtId="0" fontId="21" fillId="2" borderId="56" xfId="0" applyFont="1" applyFill="1" applyBorder="1"/>
    <xf numFmtId="0" fontId="21" fillId="2" borderId="57" xfId="0" applyFont="1" applyFill="1" applyBorder="1"/>
    <xf numFmtId="0" fontId="27" fillId="6" borderId="43" xfId="0" applyFont="1" applyFill="1" applyBorder="1" applyAlignment="1">
      <alignment horizontal="center" vertical="center" wrapText="1"/>
    </xf>
    <xf numFmtId="0" fontId="27" fillId="6" borderId="60" xfId="0" applyFont="1" applyFill="1" applyBorder="1" applyAlignment="1">
      <alignment horizontal="center" vertical="center" wrapText="1"/>
    </xf>
    <xf numFmtId="0" fontId="27" fillId="6" borderId="60" xfId="0" applyFont="1" applyFill="1" applyBorder="1" applyAlignment="1">
      <alignment horizontal="center" vertical="top" wrapText="1"/>
    </xf>
    <xf numFmtId="0" fontId="27" fillId="6" borderId="62" xfId="0" applyFont="1" applyFill="1" applyBorder="1" applyAlignment="1">
      <alignment horizontal="center" vertical="center" wrapText="1"/>
    </xf>
    <xf numFmtId="0" fontId="29" fillId="10" borderId="55" xfId="0" applyFont="1" applyFill="1" applyBorder="1"/>
    <xf numFmtId="0" fontId="4" fillId="10" borderId="56" xfId="0" applyFont="1" applyFill="1" applyBorder="1"/>
    <xf numFmtId="0" fontId="21" fillId="10" borderId="56" xfId="0" applyFont="1" applyFill="1" applyBorder="1"/>
    <xf numFmtId="0" fontId="21" fillId="10" borderId="57" xfId="0" applyFont="1" applyFill="1" applyBorder="1"/>
    <xf numFmtId="0" fontId="29" fillId="7" borderId="59" xfId="0" applyFont="1" applyFill="1" applyBorder="1" applyAlignment="1">
      <alignment horizontal="center" vertical="center" wrapText="1"/>
    </xf>
    <xf numFmtId="0" fontId="27" fillId="7" borderId="61" xfId="0" applyFont="1" applyFill="1" applyBorder="1" applyAlignment="1">
      <alignment horizontal="center" vertical="center" wrapText="1"/>
    </xf>
    <xf numFmtId="0" fontId="27" fillId="7" borderId="60"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27" fillId="7" borderId="66" xfId="0" applyFont="1" applyFill="1" applyBorder="1" applyAlignment="1">
      <alignment horizontal="center" vertical="center" wrapText="1"/>
    </xf>
    <xf numFmtId="0" fontId="4" fillId="9" borderId="56" xfId="0" applyFont="1" applyFill="1" applyBorder="1"/>
    <xf numFmtId="0" fontId="21" fillId="9" borderId="56" xfId="0" applyFont="1" applyFill="1" applyBorder="1"/>
    <xf numFmtId="0" fontId="21" fillId="9" borderId="57" xfId="0" applyFont="1" applyFill="1" applyBorder="1"/>
    <xf numFmtId="0" fontId="27" fillId="4" borderId="43" xfId="0" applyFont="1" applyFill="1" applyBorder="1" applyAlignment="1">
      <alignment horizontal="center" vertical="center" wrapText="1"/>
    </xf>
    <xf numFmtId="0" fontId="27" fillId="4" borderId="60" xfId="0" applyFont="1" applyFill="1" applyBorder="1" applyAlignment="1">
      <alignment horizontal="center" vertical="center" wrapText="1"/>
    </xf>
    <xf numFmtId="0" fontId="27" fillId="4" borderId="62" xfId="0" applyFont="1" applyFill="1" applyBorder="1" applyAlignment="1">
      <alignment horizontal="center" vertical="center" wrapText="1"/>
    </xf>
    <xf numFmtId="0" fontId="14" fillId="9" borderId="56" xfId="0" applyFont="1" applyFill="1" applyBorder="1"/>
    <xf numFmtId="0" fontId="14" fillId="9" borderId="57" xfId="0" applyFont="1" applyFill="1" applyBorder="1"/>
    <xf numFmtId="0" fontId="14" fillId="10" borderId="56" xfId="0" applyFont="1" applyFill="1" applyBorder="1"/>
    <xf numFmtId="0" fontId="14" fillId="10" borderId="57" xfId="0" applyFont="1" applyFill="1" applyBorder="1"/>
    <xf numFmtId="0" fontId="27" fillId="7" borderId="62" xfId="0" applyFont="1" applyFill="1" applyBorder="1" applyAlignment="1">
      <alignment horizontal="center" vertical="center" wrapText="1"/>
    </xf>
    <xf numFmtId="0" fontId="26" fillId="2" borderId="56" xfId="0" applyFont="1" applyFill="1" applyBorder="1"/>
    <xf numFmtId="0" fontId="26" fillId="2" borderId="57" xfId="0" applyFont="1" applyFill="1" applyBorder="1"/>
    <xf numFmtId="0" fontId="29" fillId="6" borderId="59" xfId="0" applyFont="1" applyFill="1" applyBorder="1" applyAlignment="1">
      <alignment horizontal="center" vertical="center" wrapText="1"/>
    </xf>
    <xf numFmtId="0" fontId="14" fillId="8" borderId="56" xfId="0" applyFont="1" applyFill="1" applyBorder="1"/>
    <xf numFmtId="0" fontId="14" fillId="8" borderId="57" xfId="0" applyFont="1" applyFill="1" applyBorder="1"/>
    <xf numFmtId="0" fontId="27" fillId="11" borderId="60" xfId="0" applyFont="1" applyFill="1" applyBorder="1" applyAlignment="1">
      <alignment horizontal="center" vertical="center" wrapText="1"/>
    </xf>
    <xf numFmtId="0" fontId="30" fillId="10" borderId="56" xfId="0" applyFont="1" applyFill="1" applyBorder="1"/>
    <xf numFmtId="0" fontId="4" fillId="13" borderId="29" xfId="0" applyFont="1" applyFill="1" applyBorder="1"/>
    <xf numFmtId="0" fontId="8" fillId="2" borderId="56" xfId="0" applyFont="1" applyFill="1" applyBorder="1" applyAlignment="1">
      <alignment vertical="center"/>
    </xf>
    <xf numFmtId="0" fontId="8" fillId="2" borderId="57" xfId="0" applyFont="1" applyFill="1" applyBorder="1" applyAlignment="1">
      <alignment vertical="center"/>
    </xf>
    <xf numFmtId="0" fontId="0" fillId="8" borderId="55" xfId="0" applyFill="1" applyBorder="1"/>
    <xf numFmtId="0" fontId="3" fillId="11" borderId="74" xfId="0" applyFont="1" applyFill="1" applyBorder="1" applyAlignment="1">
      <alignment horizontal="center" vertical="center" wrapText="1"/>
    </xf>
    <xf numFmtId="0" fontId="4" fillId="3" borderId="74" xfId="0" applyFont="1" applyFill="1" applyBorder="1" applyAlignment="1">
      <alignment vertical="top" wrapText="1"/>
    </xf>
    <xf numFmtId="0" fontId="27" fillId="0" borderId="3" xfId="0" applyFont="1" applyFill="1" applyBorder="1" applyAlignment="1">
      <alignment horizontal="center" vertical="center" wrapText="1"/>
    </xf>
    <xf numFmtId="0" fontId="4" fillId="0" borderId="5" xfId="0" applyFont="1" applyBorder="1" applyAlignment="1">
      <alignment horizontal="left" vertical="top" wrapText="1"/>
    </xf>
    <xf numFmtId="0" fontId="14" fillId="0" borderId="0" xfId="0" applyFont="1" applyAlignment="1">
      <alignment vertical="top"/>
    </xf>
    <xf numFmtId="3" fontId="0" fillId="0" borderId="0" xfId="0" applyNumberFormat="1"/>
    <xf numFmtId="3" fontId="0" fillId="0" borderId="0" xfId="0" applyNumberFormat="1" applyFill="1" applyBorder="1"/>
    <xf numFmtId="0" fontId="9" fillId="0" borderId="21" xfId="0" applyFont="1" applyFill="1" applyBorder="1" applyAlignment="1">
      <alignment horizontal="right" vertical="top" wrapText="1"/>
    </xf>
    <xf numFmtId="0" fontId="4" fillId="0" borderId="27" xfId="0" applyFont="1" applyBorder="1" applyAlignment="1">
      <alignment vertical="top" wrapText="1"/>
    </xf>
    <xf numFmtId="0" fontId="4" fillId="3" borderId="0" xfId="0" applyFont="1" applyFill="1" applyAlignment="1">
      <alignment horizontal="left" vertical="top" wrapText="1"/>
    </xf>
    <xf numFmtId="0" fontId="4" fillId="3" borderId="9" xfId="0" applyFont="1" applyFill="1" applyBorder="1" applyAlignment="1">
      <alignment horizontal="left" vertical="top" wrapText="1"/>
    </xf>
    <xf numFmtId="0" fontId="4" fillId="3" borderId="6" xfId="0" applyFont="1" applyFill="1" applyBorder="1" applyAlignment="1">
      <alignment horizontal="left" vertical="top" wrapText="1"/>
    </xf>
    <xf numFmtId="0" fontId="3" fillId="3" borderId="6" xfId="0" applyFont="1" applyFill="1" applyBorder="1" applyAlignment="1">
      <alignment horizontal="left" vertical="top" wrapText="1"/>
    </xf>
    <xf numFmtId="0" fontId="27" fillId="0" borderId="41" xfId="0" applyFont="1" applyFill="1" applyBorder="1" applyAlignment="1">
      <alignment vertical="center" wrapText="1"/>
    </xf>
    <xf numFmtId="0" fontId="27" fillId="0" borderId="64" xfId="0" applyFont="1" applyFill="1" applyBorder="1" applyAlignment="1">
      <alignment vertical="center" wrapText="1"/>
    </xf>
    <xf numFmtId="0" fontId="27" fillId="0" borderId="8" xfId="0" applyFont="1" applyFill="1" applyBorder="1" applyAlignment="1">
      <alignment vertical="center" wrapText="1"/>
    </xf>
    <xf numFmtId="0" fontId="27" fillId="0" borderId="9" xfId="0" applyFont="1" applyFill="1" applyBorder="1" applyAlignment="1">
      <alignment vertical="center" wrapText="1"/>
    </xf>
    <xf numFmtId="0" fontId="27" fillId="0" borderId="3" xfId="0" applyFont="1" applyFill="1" applyBorder="1" applyAlignment="1">
      <alignment vertical="center" wrapText="1"/>
    </xf>
    <xf numFmtId="0" fontId="27" fillId="0" borderId="4" xfId="0" applyFont="1" applyFill="1" applyBorder="1" applyAlignment="1">
      <alignment vertical="center" wrapText="1"/>
    </xf>
    <xf numFmtId="0" fontId="4" fillId="3" borderId="3" xfId="0" applyFont="1" applyFill="1" applyBorder="1" applyAlignment="1">
      <alignment horizontal="left" vertical="top" wrapText="1"/>
    </xf>
    <xf numFmtId="0" fontId="4" fillId="3" borderId="42" xfId="0" applyFont="1" applyFill="1" applyBorder="1" applyAlignment="1">
      <alignment horizontal="left" vertical="top" wrapText="1"/>
    </xf>
    <xf numFmtId="0" fontId="9" fillId="0" borderId="8" xfId="0" applyFont="1" applyFill="1" applyBorder="1" applyAlignment="1">
      <alignment horizontal="center" vertical="center" wrapText="1"/>
    </xf>
    <xf numFmtId="0" fontId="4" fillId="3" borderId="21" xfId="0" applyFont="1" applyFill="1" applyBorder="1" applyAlignment="1">
      <alignment vertical="top" wrapText="1"/>
    </xf>
    <xf numFmtId="0" fontId="4" fillId="3" borderId="8" xfId="0" applyFont="1" applyFill="1" applyBorder="1" applyAlignment="1">
      <alignment vertical="top" wrapText="1"/>
    </xf>
    <xf numFmtId="0" fontId="4" fillId="3" borderId="9" xfId="0" applyFont="1" applyFill="1" applyBorder="1" applyAlignment="1">
      <alignment vertical="top" wrapText="1"/>
    </xf>
    <xf numFmtId="0" fontId="4" fillId="3" borderId="2" xfId="0" applyFont="1" applyFill="1" applyBorder="1" applyAlignment="1">
      <alignment vertical="top" wrapText="1"/>
    </xf>
    <xf numFmtId="0" fontId="4" fillId="3" borderId="54" xfId="0" applyFont="1" applyFill="1" applyBorder="1" applyAlignment="1">
      <alignment horizontal="left" vertical="top" wrapText="1"/>
    </xf>
    <xf numFmtId="0" fontId="14" fillId="0" borderId="0" xfId="0" applyFont="1"/>
    <xf numFmtId="0" fontId="4" fillId="15" borderId="28" xfId="0" applyFont="1" applyFill="1" applyBorder="1" applyAlignment="1">
      <alignment vertical="center"/>
    </xf>
    <xf numFmtId="6" fontId="4" fillId="15" borderId="28" xfId="0" applyNumberFormat="1" applyFont="1" applyFill="1" applyBorder="1" applyAlignment="1">
      <alignment horizontal="right" vertical="center"/>
    </xf>
    <xf numFmtId="0" fontId="9" fillId="3" borderId="8" xfId="0" applyFont="1" applyFill="1" applyBorder="1" applyAlignment="1">
      <alignment horizontal="right" vertical="top"/>
    </xf>
    <xf numFmtId="9" fontId="9" fillId="3" borderId="8" xfId="3" applyFont="1" applyFill="1" applyBorder="1" applyAlignment="1">
      <alignment horizontal="right" vertical="top" wrapText="1"/>
    </xf>
    <xf numFmtId="3" fontId="9" fillId="3" borderId="8" xfId="0" applyNumberFormat="1" applyFont="1" applyFill="1" applyBorder="1" applyAlignment="1">
      <alignment horizontal="right" vertical="top"/>
    </xf>
    <xf numFmtId="9" fontId="9" fillId="3" borderId="0" xfId="3" applyFont="1" applyFill="1" applyAlignment="1">
      <alignment horizontal="right" vertical="top"/>
    </xf>
    <xf numFmtId="164" fontId="9" fillId="3" borderId="12" xfId="1" applyNumberFormat="1" applyFont="1" applyFill="1" applyBorder="1" applyAlignment="1">
      <alignment horizontal="right" vertical="top"/>
    </xf>
    <xf numFmtId="0" fontId="9" fillId="3" borderId="21" xfId="0" applyFont="1" applyFill="1" applyBorder="1" applyAlignment="1">
      <alignment horizontal="right" vertical="top"/>
    </xf>
    <xf numFmtId="0" fontId="9" fillId="3" borderId="0" xfId="0" applyFont="1" applyFill="1" applyAlignment="1">
      <alignment horizontal="right" vertical="top"/>
    </xf>
    <xf numFmtId="3" fontId="9" fillId="3" borderId="15" xfId="0" applyNumberFormat="1" applyFont="1" applyFill="1" applyBorder="1" applyAlignment="1">
      <alignment horizontal="right" vertical="top"/>
    </xf>
    <xf numFmtId="3" fontId="9" fillId="3" borderId="0" xfId="0" applyNumberFormat="1" applyFont="1" applyFill="1" applyAlignment="1">
      <alignment vertical="top"/>
    </xf>
    <xf numFmtId="3" fontId="9" fillId="3" borderId="8" xfId="0" applyNumberFormat="1" applyFont="1" applyFill="1" applyBorder="1" applyAlignment="1">
      <alignment vertical="top"/>
    </xf>
    <xf numFmtId="0" fontId="9" fillId="3" borderId="0" xfId="0" applyFont="1" applyFill="1" applyAlignment="1">
      <alignment vertical="top"/>
    </xf>
    <xf numFmtId="0" fontId="31" fillId="0" borderId="0" xfId="0" applyFont="1" applyAlignment="1">
      <alignment vertical="center"/>
    </xf>
    <xf numFmtId="0" fontId="3" fillId="15" borderId="28" xfId="0" applyFont="1" applyFill="1" applyBorder="1" applyAlignment="1">
      <alignment vertical="center"/>
    </xf>
    <xf numFmtId="165" fontId="3" fillId="15" borderId="28" xfId="2" applyNumberFormat="1" applyFont="1" applyFill="1" applyBorder="1" applyAlignment="1">
      <alignment horizontal="right" vertical="center"/>
    </xf>
    <xf numFmtId="0" fontId="3" fillId="15" borderId="28" xfId="0" applyFont="1" applyFill="1" applyBorder="1" applyAlignment="1">
      <alignment vertical="center" wrapText="1"/>
    </xf>
    <xf numFmtId="6" fontId="3" fillId="15" borderId="28" xfId="0" applyNumberFormat="1" applyFont="1" applyFill="1" applyBorder="1" applyAlignment="1">
      <alignment horizontal="right" vertical="center"/>
    </xf>
    <xf numFmtId="166" fontId="9" fillId="3" borderId="3" xfId="0" applyNumberFormat="1" applyFont="1" applyFill="1" applyBorder="1" applyAlignment="1">
      <alignment horizontal="right" vertical="top" wrapText="1"/>
    </xf>
    <xf numFmtId="9" fontId="9" fillId="3" borderId="21" xfId="3" applyFont="1" applyFill="1" applyBorder="1" applyAlignment="1">
      <alignment horizontal="right" vertical="top"/>
    </xf>
    <xf numFmtId="170" fontId="4" fillId="14" borderId="3" xfId="0" applyNumberFormat="1" applyFont="1" applyFill="1" applyBorder="1" applyAlignment="1">
      <alignment horizontal="right" vertical="top" wrapText="1"/>
    </xf>
    <xf numFmtId="165" fontId="4" fillId="3" borderId="23" xfId="2" applyNumberFormat="1" applyFont="1" applyFill="1" applyBorder="1" applyAlignment="1">
      <alignment horizontal="left" vertical="top" wrapText="1"/>
    </xf>
    <xf numFmtId="165" fontId="4" fillId="3" borderId="28" xfId="2" applyNumberFormat="1" applyFont="1" applyFill="1" applyBorder="1" applyAlignment="1">
      <alignment horizontal="left" vertical="center"/>
    </xf>
    <xf numFmtId="165" fontId="4" fillId="3" borderId="24" xfId="2" applyNumberFormat="1" applyFont="1" applyFill="1" applyBorder="1" applyAlignment="1">
      <alignment horizontal="left"/>
    </xf>
    <xf numFmtId="0" fontId="3" fillId="15" borderId="23" xfId="0" applyFont="1" applyFill="1" applyBorder="1" applyAlignment="1">
      <alignment vertical="center"/>
    </xf>
    <xf numFmtId="165" fontId="3" fillId="15" borderId="27" xfId="2" applyNumberFormat="1" applyFont="1" applyFill="1" applyBorder="1" applyAlignment="1">
      <alignment horizontal="right" vertical="center"/>
    </xf>
    <xf numFmtId="2" fontId="4" fillId="3" borderId="33" xfId="0" applyNumberFormat="1" applyFont="1" applyFill="1" applyBorder="1" applyAlignment="1">
      <alignment horizontal="right" vertical="top" wrapText="1"/>
    </xf>
    <xf numFmtId="168" fontId="4" fillId="3" borderId="8" xfId="0" applyNumberFormat="1" applyFont="1" applyFill="1" applyBorder="1" applyAlignment="1">
      <alignment horizontal="right" vertical="top"/>
    </xf>
    <xf numFmtId="0" fontId="33" fillId="0" borderId="0" xfId="0" applyFont="1"/>
    <xf numFmtId="0" fontId="4" fillId="3" borderId="9" xfId="0" applyFont="1" applyFill="1" applyBorder="1" applyAlignment="1">
      <alignment horizontal="left" vertical="top" wrapText="1"/>
    </xf>
    <xf numFmtId="0" fontId="4" fillId="0" borderId="17" xfId="0" applyFont="1" applyBorder="1" applyAlignment="1">
      <alignment horizontal="center" vertical="center"/>
    </xf>
    <xf numFmtId="0" fontId="6" fillId="3" borderId="2" xfId="0" applyFont="1" applyFill="1" applyBorder="1" applyAlignment="1">
      <alignment horizontal="left" vertical="top" wrapText="1"/>
    </xf>
    <xf numFmtId="168" fontId="9" fillId="3" borderId="31" xfId="0" applyNumberFormat="1" applyFont="1" applyFill="1" applyBorder="1" applyAlignment="1">
      <alignment horizontal="right" vertical="top" wrapText="1"/>
    </xf>
    <xf numFmtId="168" fontId="9" fillId="3" borderId="3" xfId="0" applyNumberFormat="1" applyFont="1" applyFill="1" applyBorder="1" applyAlignment="1">
      <alignment horizontal="right" vertical="top" wrapText="1"/>
    </xf>
    <xf numFmtId="168" fontId="4" fillId="3" borderId="3" xfId="0" applyNumberFormat="1" applyFont="1" applyFill="1" applyBorder="1" applyAlignment="1">
      <alignment horizontal="right" vertical="top" wrapText="1"/>
    </xf>
    <xf numFmtId="0" fontId="9" fillId="3" borderId="21" xfId="0" applyFont="1" applyFill="1" applyBorder="1" applyAlignment="1">
      <alignment horizontal="left" vertical="top" wrapText="1"/>
    </xf>
    <xf numFmtId="2" fontId="4" fillId="0" borderId="31" xfId="0" applyNumberFormat="1" applyFont="1" applyBorder="1" applyAlignment="1">
      <alignment horizontal="right" vertical="top"/>
    </xf>
    <xf numFmtId="2" fontId="4" fillId="0" borderId="8" xfId="0" applyNumberFormat="1" applyFont="1" applyBorder="1" applyAlignment="1">
      <alignment horizontal="right" vertical="top" wrapText="1"/>
    </xf>
    <xf numFmtId="2" fontId="4" fillId="3" borderId="31" xfId="0" applyNumberFormat="1" applyFont="1" applyFill="1" applyBorder="1" applyAlignment="1">
      <alignment horizontal="right" vertical="top"/>
    </xf>
    <xf numFmtId="1" fontId="4" fillId="0" borderId="34" xfId="0" applyNumberFormat="1" applyFont="1" applyBorder="1" applyAlignment="1">
      <alignment horizontal="right" vertical="top" wrapText="1"/>
    </xf>
    <xf numFmtId="9" fontId="4" fillId="0" borderId="34" xfId="3" applyFont="1" applyBorder="1" applyAlignment="1">
      <alignment horizontal="right" vertical="top" wrapText="1"/>
    </xf>
    <xf numFmtId="2" fontId="4" fillId="0" borderId="3" xfId="0" applyNumberFormat="1" applyFont="1" applyFill="1" applyBorder="1" applyAlignment="1">
      <alignment horizontal="right" vertical="top" wrapText="1"/>
    </xf>
    <xf numFmtId="168" fontId="4" fillId="0" borderId="3" xfId="0" applyNumberFormat="1" applyFont="1" applyFill="1" applyBorder="1" applyAlignment="1">
      <alignment horizontal="right" vertical="top" wrapText="1"/>
    </xf>
    <xf numFmtId="2" fontId="4" fillId="3" borderId="8" xfId="0" applyNumberFormat="1" applyFont="1" applyFill="1" applyBorder="1" applyAlignment="1">
      <alignment horizontal="right" vertical="top" wrapText="1"/>
    </xf>
    <xf numFmtId="0" fontId="31" fillId="0" borderId="0" xfId="0" applyFont="1" applyAlignment="1"/>
    <xf numFmtId="2" fontId="9" fillId="3" borderId="3" xfId="0" applyNumberFormat="1" applyFont="1" applyFill="1" applyBorder="1" applyAlignment="1">
      <alignment horizontal="right" vertical="top" wrapText="1"/>
    </xf>
    <xf numFmtId="2" fontId="4" fillId="0" borderId="3" xfId="0" applyNumberFormat="1" applyFont="1" applyBorder="1" applyAlignment="1">
      <alignment horizontal="right" vertical="top" wrapText="1"/>
    </xf>
    <xf numFmtId="2" fontId="4" fillId="0" borderId="21" xfId="0" applyNumberFormat="1" applyFont="1" applyBorder="1" applyAlignment="1">
      <alignment horizontal="right" vertical="top"/>
    </xf>
    <xf numFmtId="9" fontId="4" fillId="0" borderId="3" xfId="3" applyFont="1" applyBorder="1" applyAlignment="1">
      <alignment horizontal="right" vertical="top" wrapText="1"/>
    </xf>
    <xf numFmtId="0" fontId="34" fillId="0" borderId="0" xfId="0" applyFont="1"/>
    <xf numFmtId="0" fontId="9" fillId="0" borderId="2" xfId="0" applyFont="1" applyBorder="1" applyAlignment="1">
      <alignment horizontal="left" vertical="top" wrapText="1"/>
    </xf>
    <xf numFmtId="0" fontId="9" fillId="3" borderId="9" xfId="0" applyFont="1" applyFill="1" applyBorder="1" applyAlignment="1">
      <alignment horizontal="left" vertical="top" wrapText="1"/>
    </xf>
    <xf numFmtId="3" fontId="21" fillId="3" borderId="6" xfId="0" applyNumberFormat="1" applyFont="1" applyFill="1" applyBorder="1" applyAlignment="1">
      <alignment horizontal="right" vertical="top" wrapText="1"/>
    </xf>
    <xf numFmtId="0" fontId="21" fillId="0" borderId="0" xfId="0" applyFont="1" applyBorder="1"/>
    <xf numFmtId="0" fontId="14" fillId="0" borderId="0" xfId="0" applyFont="1" applyBorder="1"/>
    <xf numFmtId="0" fontId="25" fillId="0" borderId="0" xfId="0" applyFont="1" applyBorder="1"/>
    <xf numFmtId="0" fontId="9" fillId="0" borderId="0" xfId="0" applyFont="1" applyBorder="1"/>
    <xf numFmtId="2" fontId="0" fillId="0" borderId="0" xfId="0" applyNumberFormat="1"/>
    <xf numFmtId="0" fontId="7" fillId="9" borderId="55" xfId="0" applyFont="1" applyFill="1" applyBorder="1" applyAlignment="1">
      <alignment vertical="top"/>
    </xf>
    <xf numFmtId="0" fontId="7" fillId="2" borderId="55" xfId="0" applyFont="1" applyFill="1" applyBorder="1" applyAlignment="1">
      <alignment vertical="top"/>
    </xf>
    <xf numFmtId="0" fontId="7" fillId="8" borderId="55" xfId="0" applyFont="1" applyFill="1" applyBorder="1" applyAlignment="1">
      <alignment vertical="top"/>
    </xf>
    <xf numFmtId="0" fontId="32" fillId="0" borderId="0" xfId="0" applyFont="1" applyAlignment="1">
      <alignment vertical="center"/>
    </xf>
    <xf numFmtId="3" fontId="0" fillId="0" borderId="0" xfId="0" applyNumberFormat="1" applyBorder="1"/>
    <xf numFmtId="0" fontId="29" fillId="9" borderId="55" xfId="0" applyFont="1" applyFill="1" applyBorder="1" applyAlignment="1">
      <alignment vertical="top"/>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3" fontId="4" fillId="3" borderId="12" xfId="0" applyNumberFormat="1" applyFont="1" applyFill="1" applyBorder="1" applyAlignment="1">
      <alignment horizontal="right" vertical="top" wrapText="1"/>
    </xf>
    <xf numFmtId="0" fontId="4" fillId="0" borderId="5" xfId="0" applyFont="1" applyBorder="1" applyAlignment="1">
      <alignment horizontal="left" vertical="top" wrapText="1"/>
    </xf>
    <xf numFmtId="0" fontId="32" fillId="3" borderId="0" xfId="0" applyFont="1" applyFill="1" applyAlignment="1">
      <alignment vertical="center"/>
    </xf>
    <xf numFmtId="0" fontId="27" fillId="0" borderId="0" xfId="0" applyFont="1" applyAlignment="1">
      <alignment vertical="center"/>
    </xf>
    <xf numFmtId="0" fontId="7" fillId="12" borderId="55" xfId="0" applyFont="1" applyFill="1" applyBorder="1" applyAlignment="1">
      <alignment vertical="top"/>
    </xf>
    <xf numFmtId="0" fontId="7" fillId="13" borderId="29" xfId="0" applyFont="1" applyFill="1" applyBorder="1" applyAlignment="1">
      <alignment vertical="top"/>
    </xf>
    <xf numFmtId="0" fontId="36" fillId="0" borderId="0" xfId="0" applyFont="1"/>
    <xf numFmtId="2" fontId="4" fillId="0" borderId="0" xfId="0" applyNumberFormat="1" applyFont="1" applyBorder="1" applyAlignment="1">
      <alignment horizontal="right" vertical="top"/>
    </xf>
    <xf numFmtId="2" fontId="4" fillId="0" borderId="3" xfId="0" applyNumberFormat="1" applyFont="1" applyBorder="1" applyAlignment="1">
      <alignment horizontal="right" vertical="top"/>
    </xf>
    <xf numFmtId="2" fontId="9" fillId="3" borderId="8" xfId="0" applyNumberFormat="1" applyFont="1" applyFill="1" applyBorder="1" applyAlignment="1">
      <alignment horizontal="right" vertical="top"/>
    </xf>
    <xf numFmtId="2" fontId="4" fillId="3" borderId="3" xfId="0" applyNumberFormat="1" applyFont="1" applyFill="1" applyBorder="1" applyAlignment="1">
      <alignment horizontal="right" vertical="top" wrapText="1"/>
    </xf>
    <xf numFmtId="2" fontId="4" fillId="3" borderId="8" xfId="0" applyNumberFormat="1" applyFont="1" applyFill="1" applyBorder="1" applyAlignment="1">
      <alignment horizontal="right" vertical="top"/>
    </xf>
    <xf numFmtId="2" fontId="4" fillId="3" borderId="31" xfId="0" applyNumberFormat="1" applyFont="1" applyFill="1" applyBorder="1" applyAlignment="1">
      <alignment horizontal="right" vertical="top" wrapText="1"/>
    </xf>
    <xf numFmtId="2" fontId="9" fillId="3" borderId="31" xfId="0" applyNumberFormat="1" applyFont="1" applyFill="1" applyBorder="1" applyAlignment="1">
      <alignment horizontal="right" vertical="top"/>
    </xf>
    <xf numFmtId="2" fontId="9" fillId="3" borderId="31" xfId="0" applyNumberFormat="1" applyFont="1" applyFill="1" applyBorder="1" applyAlignment="1">
      <alignment horizontal="right" vertical="top" wrapText="1"/>
    </xf>
    <xf numFmtId="2" fontId="4" fillId="0" borderId="21" xfId="0" applyNumberFormat="1" applyFont="1" applyBorder="1" applyAlignment="1">
      <alignment horizontal="right" vertical="top" wrapText="1"/>
    </xf>
    <xf numFmtId="2" fontId="9" fillId="3" borderId="21" xfId="0" applyNumberFormat="1" applyFont="1" applyFill="1" applyBorder="1" applyAlignment="1">
      <alignment horizontal="right" vertical="top"/>
    </xf>
    <xf numFmtId="2" fontId="9" fillId="3" borderId="21" xfId="0" applyNumberFormat="1" applyFont="1" applyFill="1" applyBorder="1" applyAlignment="1">
      <alignment horizontal="right" vertical="top" wrapText="1"/>
    </xf>
    <xf numFmtId="2" fontId="9" fillId="3" borderId="6" xfId="0" applyNumberFormat="1" applyFont="1" applyFill="1" applyBorder="1" applyAlignment="1">
      <alignment horizontal="right" vertical="top" wrapText="1"/>
    </xf>
    <xf numFmtId="2" fontId="9" fillId="0" borderId="21" xfId="0" applyNumberFormat="1" applyFont="1" applyBorder="1" applyAlignment="1">
      <alignment horizontal="right" vertical="top"/>
    </xf>
    <xf numFmtId="2" fontId="9" fillId="0" borderId="3" xfId="0" applyNumberFormat="1" applyFont="1" applyBorder="1" applyAlignment="1">
      <alignment horizontal="right" vertical="top" wrapText="1"/>
    </xf>
    <xf numFmtId="2" fontId="9" fillId="0" borderId="34" xfId="0" applyNumberFormat="1" applyFont="1" applyBorder="1" applyAlignment="1">
      <alignment horizontal="right" vertical="top"/>
    </xf>
    <xf numFmtId="2" fontId="9" fillId="3" borderId="6" xfId="0" applyNumberFormat="1" applyFont="1" applyFill="1" applyBorder="1" applyAlignment="1">
      <alignment horizontal="right" vertical="top"/>
    </xf>
    <xf numFmtId="2" fontId="9" fillId="0" borderId="0" xfId="0" applyNumberFormat="1" applyFont="1" applyFill="1" applyBorder="1" applyAlignment="1">
      <alignment horizontal="right" vertical="top" wrapText="1"/>
    </xf>
    <xf numFmtId="2" fontId="4" fillId="0" borderId="34" xfId="0" applyNumberFormat="1" applyFont="1" applyBorder="1" applyAlignment="1">
      <alignment horizontal="right" vertical="top"/>
    </xf>
    <xf numFmtId="2" fontId="4" fillId="3" borderId="3" xfId="0" applyNumberFormat="1" applyFont="1" applyFill="1" applyBorder="1" applyAlignment="1">
      <alignment horizontal="right" vertical="top"/>
    </xf>
    <xf numFmtId="0" fontId="1" fillId="0" borderId="0" xfId="0" applyFont="1" applyBorder="1" applyAlignment="1">
      <alignment horizontal="right"/>
    </xf>
    <xf numFmtId="0" fontId="3" fillId="0" borderId="11" xfId="0" applyFont="1" applyBorder="1" applyAlignment="1">
      <alignment vertical="center"/>
    </xf>
    <xf numFmtId="0" fontId="1" fillId="0" borderId="0" xfId="0" applyFont="1" applyAlignment="1"/>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7" fillId="10" borderId="55" xfId="0" applyFont="1" applyFill="1" applyBorder="1" applyAlignment="1">
      <alignment vertical="top"/>
    </xf>
    <xf numFmtId="3" fontId="4" fillId="3" borderId="12" xfId="0" applyNumberFormat="1" applyFont="1" applyFill="1" applyBorder="1" applyAlignment="1">
      <alignment horizontal="right" vertical="top" wrapText="1"/>
    </xf>
    <xf numFmtId="0" fontId="16" fillId="0" borderId="0" xfId="0" applyFont="1" applyBorder="1"/>
    <xf numFmtId="0" fontId="16" fillId="0" borderId="0" xfId="0" applyFont="1" applyBorder="1" applyAlignment="1">
      <alignment horizontal="right"/>
    </xf>
    <xf numFmtId="8" fontId="16" fillId="0" borderId="0" xfId="0" applyNumberFormat="1" applyFont="1" applyBorder="1"/>
    <xf numFmtId="0" fontId="1" fillId="0" borderId="0" xfId="0" applyFont="1" applyBorder="1"/>
    <xf numFmtId="0" fontId="3" fillId="0" borderId="0" xfId="0" applyFont="1" applyBorder="1"/>
    <xf numFmtId="0" fontId="13" fillId="0" borderId="0" xfId="0" applyFont="1" applyBorder="1"/>
    <xf numFmtId="0" fontId="4" fillId="0" borderId="0" xfId="0" applyFont="1" applyBorder="1" applyAlignment="1">
      <alignment horizontal="right"/>
    </xf>
    <xf numFmtId="4" fontId="9" fillId="0" borderId="0" xfId="0" applyNumberFormat="1" applyFont="1" applyBorder="1"/>
    <xf numFmtId="4" fontId="4" fillId="0" borderId="0" xfId="0" applyNumberFormat="1" applyFont="1" applyBorder="1"/>
    <xf numFmtId="0" fontId="35" fillId="0" borderId="0" xfId="0" applyFont="1" applyBorder="1"/>
    <xf numFmtId="4" fontId="0" fillId="0" borderId="0" xfId="0" applyNumberFormat="1" applyBorder="1"/>
    <xf numFmtId="4" fontId="4" fillId="0" borderId="0" xfId="0" applyNumberFormat="1" applyFont="1" applyBorder="1" applyAlignment="1">
      <alignment horizontal="right"/>
    </xf>
    <xf numFmtId="2" fontId="0" fillId="0" borderId="0" xfId="0" applyNumberFormat="1" applyBorder="1"/>
    <xf numFmtId="2" fontId="4" fillId="0" borderId="0" xfId="0" applyNumberFormat="1" applyFont="1" applyBorder="1"/>
    <xf numFmtId="0" fontId="1" fillId="0" borderId="0" xfId="0" applyFont="1" applyBorder="1" applyAlignment="1">
      <alignment horizontal="center"/>
    </xf>
    <xf numFmtId="0" fontId="4" fillId="3" borderId="5" xfId="0" applyFont="1" applyFill="1" applyBorder="1" applyAlignment="1">
      <alignment horizontal="left" vertical="top" wrapText="1"/>
    </xf>
    <xf numFmtId="0" fontId="1" fillId="0" borderId="0" xfId="0" applyFont="1" applyAlignment="1">
      <alignment horizontal="right"/>
    </xf>
    <xf numFmtId="0" fontId="27" fillId="0" borderId="0" xfId="0" applyFont="1" applyAlignment="1">
      <alignment horizontal="right" vertical="center"/>
    </xf>
    <xf numFmtId="3" fontId="4" fillId="0" borderId="0" xfId="0" applyNumberFormat="1" applyFont="1"/>
    <xf numFmtId="0" fontId="0" fillId="0" borderId="0" xfId="0" applyAlignment="1">
      <alignment horizontal="center"/>
    </xf>
    <xf numFmtId="3" fontId="4" fillId="0" borderId="24" xfId="0" applyNumberFormat="1" applyFont="1" applyBorder="1" applyAlignment="1">
      <alignment vertical="center"/>
    </xf>
    <xf numFmtId="3" fontId="4" fillId="0" borderId="72" xfId="0" applyNumberFormat="1" applyFont="1" applyBorder="1" applyAlignment="1"/>
    <xf numFmtId="3" fontId="4" fillId="0" borderId="25" xfId="0" applyNumberFormat="1" applyFont="1" applyBorder="1" applyAlignment="1">
      <alignment vertical="center"/>
    </xf>
    <xf numFmtId="3" fontId="9" fillId="0" borderId="72" xfId="0" applyNumberFormat="1" applyFont="1" applyBorder="1" applyAlignment="1">
      <alignment vertical="center"/>
    </xf>
    <xf numFmtId="3" fontId="9" fillId="0" borderId="25" xfId="0" applyNumberFormat="1" applyFont="1" applyBorder="1" applyAlignment="1">
      <alignment vertical="center"/>
    </xf>
    <xf numFmtId="3" fontId="4" fillId="0" borderId="25" xfId="0" applyNumberFormat="1" applyFont="1" applyBorder="1"/>
    <xf numFmtId="3" fontId="3" fillId="0" borderId="73" xfId="0" applyNumberFormat="1" applyFont="1" applyBorder="1"/>
    <xf numFmtId="0" fontId="27" fillId="0" borderId="0" xfId="0" applyFont="1" applyBorder="1" applyAlignment="1">
      <alignment vertical="center"/>
    </xf>
    <xf numFmtId="0" fontId="27" fillId="11" borderId="65" xfId="0" applyFont="1" applyFill="1" applyBorder="1" applyAlignment="1">
      <alignment horizontal="center" vertical="center" wrapText="1"/>
    </xf>
    <xf numFmtId="3" fontId="27" fillId="0" borderId="3" xfId="0" applyNumberFormat="1" applyFont="1" applyFill="1" applyBorder="1" applyAlignment="1">
      <alignment horizontal="center" vertical="center" wrapText="1"/>
    </xf>
    <xf numFmtId="3" fontId="27" fillId="0" borderId="4" xfId="0" applyNumberFormat="1" applyFont="1" applyFill="1" applyBorder="1" applyAlignment="1">
      <alignment horizontal="center" vertical="center" wrapText="1"/>
    </xf>
    <xf numFmtId="3" fontId="27" fillId="0" borderId="0" xfId="0" applyNumberFormat="1" applyFont="1" applyFill="1" applyBorder="1" applyAlignment="1">
      <alignment horizontal="center" vertical="center" wrapText="1"/>
    </xf>
    <xf numFmtId="0" fontId="27" fillId="6" borderId="65" xfId="0" applyFont="1" applyFill="1" applyBorder="1" applyAlignment="1">
      <alignment horizontal="center" vertical="center" wrapText="1"/>
    </xf>
    <xf numFmtId="0" fontId="27" fillId="4" borderId="65" xfId="0" applyFont="1" applyFill="1" applyBorder="1" applyAlignment="1">
      <alignment horizontal="center" vertical="center" wrapText="1"/>
    </xf>
    <xf numFmtId="0" fontId="0" fillId="8" borderId="75" xfId="0" applyFill="1" applyBorder="1"/>
    <xf numFmtId="0" fontId="1" fillId="11" borderId="76" xfId="0" applyFont="1" applyFill="1" applyBorder="1" applyAlignment="1">
      <alignment horizontal="center" vertical="center" wrapText="1"/>
    </xf>
    <xf numFmtId="3" fontId="9" fillId="3" borderId="77" xfId="0" applyNumberFormat="1" applyFont="1" applyFill="1" applyBorder="1" applyAlignment="1">
      <alignment horizontal="right" vertical="top" wrapText="1"/>
    </xf>
    <xf numFmtId="3" fontId="27" fillId="0" borderId="77" xfId="0" applyNumberFormat="1" applyFont="1" applyFill="1" applyBorder="1" applyAlignment="1">
      <alignment horizontal="center" vertical="center" wrapText="1"/>
    </xf>
    <xf numFmtId="3" fontId="9" fillId="0" borderId="77" xfId="0" applyNumberFormat="1" applyFont="1" applyFill="1" applyBorder="1" applyAlignment="1">
      <alignment horizontal="right" vertical="top" wrapText="1"/>
    </xf>
    <xf numFmtId="0" fontId="0" fillId="2" borderId="78" xfId="0" applyFill="1" applyBorder="1"/>
    <xf numFmtId="0" fontId="1" fillId="6" borderId="76" xfId="0" applyFont="1" applyFill="1" applyBorder="1" applyAlignment="1">
      <alignment horizontal="center" vertical="center" wrapText="1"/>
    </xf>
    <xf numFmtId="3" fontId="9" fillId="0" borderId="79" xfId="0" applyNumberFormat="1" applyFont="1" applyBorder="1" applyAlignment="1">
      <alignment horizontal="right" vertical="top" wrapText="1"/>
    </xf>
    <xf numFmtId="0" fontId="0" fillId="12" borderId="78" xfId="0" applyFill="1" applyBorder="1"/>
    <xf numFmtId="0" fontId="1" fillId="5" borderId="76" xfId="0" applyFont="1" applyFill="1" applyBorder="1" applyAlignment="1">
      <alignment horizontal="center" vertical="center" wrapText="1"/>
    </xf>
    <xf numFmtId="0" fontId="14" fillId="9" borderId="78" xfId="0" applyFont="1" applyFill="1" applyBorder="1"/>
    <xf numFmtId="0" fontId="1" fillId="4" borderId="76" xfId="0" applyFont="1" applyFill="1" applyBorder="1" applyAlignment="1">
      <alignment horizontal="center" vertical="center" wrapText="1"/>
    </xf>
    <xf numFmtId="0" fontId="18" fillId="0" borderId="0" xfId="0" applyFont="1" applyBorder="1" applyAlignment="1">
      <alignment horizontal="left" vertical="top" wrapText="1"/>
    </xf>
    <xf numFmtId="0" fontId="21" fillId="0" borderId="0" xfId="0" applyFont="1" applyBorder="1" applyAlignment="1">
      <alignment horizontal="center" vertical="center" wrapText="1"/>
    </xf>
    <xf numFmtId="0" fontId="21" fillId="0" borderId="0" xfId="0" applyFont="1" applyBorder="1" applyAlignment="1">
      <alignment horizontal="right" vertical="top"/>
    </xf>
    <xf numFmtId="3" fontId="21" fillId="0" borderId="0" xfId="0" applyNumberFormat="1" applyFont="1" applyBorder="1" applyAlignment="1">
      <alignment horizontal="right" vertical="top"/>
    </xf>
    <xf numFmtId="3" fontId="3" fillId="0" borderId="26" xfId="0" applyNumberFormat="1" applyFont="1" applyBorder="1"/>
    <xf numFmtId="3" fontId="4" fillId="0" borderId="23" xfId="0" applyNumberFormat="1" applyFont="1" applyBorder="1"/>
    <xf numFmtId="3" fontId="9" fillId="0" borderId="23" xfId="0" applyNumberFormat="1" applyFont="1" applyBorder="1" applyAlignment="1">
      <alignment vertical="center"/>
    </xf>
    <xf numFmtId="3" fontId="3" fillId="0" borderId="23" xfId="0" applyNumberFormat="1" applyFont="1" applyBorder="1"/>
    <xf numFmtId="0" fontId="9" fillId="0" borderId="48" xfId="0" applyFont="1" applyBorder="1" applyAlignment="1">
      <alignment horizontal="right" vertical="top"/>
    </xf>
    <xf numFmtId="0" fontId="27" fillId="0" borderId="0" xfId="0" applyFont="1" applyBorder="1" applyAlignment="1">
      <alignment horizontal="right" vertical="center"/>
    </xf>
    <xf numFmtId="0" fontId="3" fillId="0" borderId="0" xfId="0" applyFont="1" applyAlignment="1">
      <alignment horizontal="center" vertical="center"/>
    </xf>
    <xf numFmtId="3" fontId="4" fillId="0" borderId="24" xfId="0" applyNumberFormat="1" applyFont="1" applyBorder="1"/>
    <xf numFmtId="3" fontId="4" fillId="0" borderId="26" xfId="0" applyNumberFormat="1" applyFont="1" applyBorder="1"/>
    <xf numFmtId="44" fontId="0" fillId="0" borderId="0" xfId="0" applyNumberFormat="1" applyBorder="1"/>
    <xf numFmtId="44" fontId="0" fillId="0" borderId="0" xfId="0" applyNumberFormat="1"/>
    <xf numFmtId="3" fontId="4" fillId="0" borderId="24" xfId="0" applyNumberFormat="1" applyFont="1" applyBorder="1" applyAlignment="1">
      <alignment vertical="top"/>
    </xf>
    <xf numFmtId="3" fontId="4" fillId="0" borderId="23" xfId="0" applyNumberFormat="1" applyFont="1" applyBorder="1" applyAlignment="1">
      <alignment vertical="top"/>
    </xf>
    <xf numFmtId="3" fontId="4" fillId="0" borderId="25" xfId="0" applyNumberFormat="1" applyFont="1" applyBorder="1" applyAlignment="1">
      <alignment vertical="top"/>
    </xf>
    <xf numFmtId="3" fontId="13" fillId="0" borderId="24" xfId="0" applyNumberFormat="1" applyFont="1" applyBorder="1" applyAlignment="1">
      <alignment vertical="top"/>
    </xf>
    <xf numFmtId="3" fontId="13" fillId="0" borderId="26" xfId="0" applyNumberFormat="1" applyFont="1" applyBorder="1" applyAlignment="1">
      <alignment vertical="top"/>
    </xf>
    <xf numFmtId="3" fontId="13" fillId="0" borderId="24" xfId="0" applyNumberFormat="1" applyFont="1" applyBorder="1"/>
    <xf numFmtId="3" fontId="13" fillId="0" borderId="26" xfId="0" applyNumberFormat="1" applyFont="1" applyBorder="1"/>
    <xf numFmtId="3" fontId="3" fillId="0" borderId="23" xfId="0" applyNumberFormat="1" applyFont="1" applyBorder="1" applyAlignment="1">
      <alignment horizontal="right" vertical="top"/>
    </xf>
    <xf numFmtId="0" fontId="3" fillId="0" borderId="0" xfId="0" applyFont="1"/>
    <xf numFmtId="3" fontId="13" fillId="0" borderId="25" xfId="0" applyNumberFormat="1" applyFont="1" applyBorder="1"/>
    <xf numFmtId="3" fontId="4" fillId="0" borderId="23" xfId="0" applyNumberFormat="1" applyFont="1" applyBorder="1" applyAlignment="1">
      <alignment vertical="center"/>
    </xf>
    <xf numFmtId="3" fontId="13" fillId="0" borderId="24" xfId="0" applyNumberFormat="1" applyFont="1" applyBorder="1" applyAlignment="1">
      <alignment vertical="center"/>
    </xf>
    <xf numFmtId="3" fontId="3" fillId="0" borderId="23" xfId="0" applyNumberFormat="1" applyFont="1" applyBorder="1" applyAlignment="1">
      <alignment horizontal="right" vertical="center"/>
    </xf>
    <xf numFmtId="3" fontId="0" fillId="0" borderId="23" xfId="0" applyNumberFormat="1" applyBorder="1"/>
    <xf numFmtId="3" fontId="0" fillId="0" borderId="25" xfId="0" applyNumberFormat="1" applyBorder="1"/>
    <xf numFmtId="0" fontId="3" fillId="0" borderId="30" xfId="0" applyFont="1" applyBorder="1"/>
    <xf numFmtId="3" fontId="3" fillId="0" borderId="26" xfId="0" applyNumberFormat="1" applyFont="1" applyBorder="1" applyAlignment="1">
      <alignment horizontal="right"/>
    </xf>
    <xf numFmtId="3" fontId="0" fillId="0" borderId="25" xfId="0" applyNumberFormat="1" applyFont="1" applyBorder="1" applyAlignment="1"/>
    <xf numFmtId="3" fontId="35" fillId="0" borderId="24" xfId="0" applyNumberFormat="1" applyFont="1" applyBorder="1"/>
    <xf numFmtId="3" fontId="35" fillId="0" borderId="26" xfId="0" applyNumberFormat="1" applyFont="1" applyBorder="1"/>
    <xf numFmtId="3" fontId="4" fillId="0" borderId="23" xfId="0" applyNumberFormat="1" applyFont="1" applyBorder="1" applyAlignment="1"/>
    <xf numFmtId="3" fontId="4" fillId="0" borderId="25" xfId="0" applyNumberFormat="1" applyFont="1" applyBorder="1" applyAlignment="1"/>
    <xf numFmtId="0" fontId="27" fillId="0" borderId="0" xfId="0" applyFont="1" applyAlignment="1">
      <alignment horizontal="right"/>
    </xf>
    <xf numFmtId="3" fontId="9" fillId="0" borderId="24" xfId="0" applyNumberFormat="1" applyFont="1" applyBorder="1"/>
    <xf numFmtId="3" fontId="9" fillId="0" borderId="25" xfId="0" applyNumberFormat="1" applyFont="1" applyBorder="1"/>
    <xf numFmtId="3" fontId="37" fillId="0" borderId="25" xfId="0" applyNumberFormat="1" applyFont="1" applyBorder="1"/>
    <xf numFmtId="3" fontId="27" fillId="0" borderId="26" xfId="0" applyNumberFormat="1" applyFont="1" applyBorder="1"/>
    <xf numFmtId="3" fontId="9" fillId="0" borderId="23" xfId="0" applyNumberFormat="1" applyFont="1" applyBorder="1"/>
    <xf numFmtId="0" fontId="3" fillId="0" borderId="26" xfId="0" applyFont="1" applyBorder="1" applyAlignment="1">
      <alignment horizontal="right"/>
    </xf>
    <xf numFmtId="3" fontId="3" fillId="0" borderId="0" xfId="0" applyNumberFormat="1" applyFont="1" applyAlignment="1">
      <alignment horizontal="right"/>
    </xf>
    <xf numFmtId="3" fontId="4" fillId="0" borderId="24" xfId="0" applyNumberFormat="1" applyFont="1" applyBorder="1" applyAlignment="1"/>
    <xf numFmtId="3" fontId="1" fillId="0" borderId="23" xfId="0" applyNumberFormat="1" applyFont="1" applyBorder="1"/>
    <xf numFmtId="165" fontId="4" fillId="3" borderId="23" xfId="2" applyNumberFormat="1" applyFont="1" applyFill="1" applyBorder="1" applyAlignment="1">
      <alignment horizontal="right" vertical="center" wrapText="1"/>
    </xf>
    <xf numFmtId="165" fontId="4" fillId="3" borderId="24" xfId="2" applyNumberFormat="1" applyFont="1" applyFill="1" applyBorder="1" applyAlignment="1">
      <alignment horizontal="right" vertical="center"/>
    </xf>
    <xf numFmtId="165" fontId="13" fillId="3" borderId="24" xfId="2" applyNumberFormat="1" applyFont="1" applyFill="1" applyBorder="1" applyAlignment="1">
      <alignment horizontal="right" vertical="center" wrapText="1"/>
    </xf>
    <xf numFmtId="165" fontId="13" fillId="3" borderId="26" xfId="2" applyNumberFormat="1" applyFont="1" applyFill="1" applyBorder="1" applyAlignment="1">
      <alignment horizontal="right" vertical="center" wrapText="1"/>
    </xf>
    <xf numFmtId="165" fontId="4" fillId="0" borderId="28" xfId="2" applyNumberFormat="1" applyFont="1" applyBorder="1" applyAlignment="1">
      <alignment horizontal="center" vertical="center"/>
    </xf>
    <xf numFmtId="165" fontId="3" fillId="0" borderId="28" xfId="2" applyNumberFormat="1" applyFont="1" applyBorder="1" applyAlignment="1">
      <alignment horizontal="center" vertical="center"/>
    </xf>
    <xf numFmtId="165" fontId="4" fillId="0" borderId="23" xfId="2" applyNumberFormat="1" applyFont="1" applyBorder="1" applyAlignment="1">
      <alignment horizontal="center" vertical="center" wrapText="1"/>
    </xf>
    <xf numFmtId="0" fontId="3" fillId="0" borderId="0" xfId="0" applyFont="1" applyAlignment="1"/>
    <xf numFmtId="3" fontId="4" fillId="3" borderId="24" xfId="0" applyNumberFormat="1" applyFont="1" applyFill="1" applyBorder="1" applyAlignment="1"/>
    <xf numFmtId="3" fontId="4" fillId="3" borderId="25" xfId="0" applyNumberFormat="1" applyFont="1" applyFill="1" applyBorder="1" applyAlignment="1"/>
    <xf numFmtId="3" fontId="4" fillId="3" borderId="25" xfId="0" applyNumberFormat="1" applyFont="1" applyFill="1" applyBorder="1"/>
    <xf numFmtId="3" fontId="4" fillId="3" borderId="23" xfId="0" applyNumberFormat="1" applyFont="1" applyFill="1" applyBorder="1"/>
    <xf numFmtId="3" fontId="13" fillId="3" borderId="25" xfId="0" applyNumberFormat="1" applyFont="1" applyFill="1" applyBorder="1"/>
    <xf numFmtId="3" fontId="13" fillId="3" borderId="26" xfId="0" applyNumberFormat="1" applyFont="1" applyFill="1" applyBorder="1"/>
    <xf numFmtId="3" fontId="3" fillId="3" borderId="23" xfId="0" applyNumberFormat="1" applyFont="1" applyFill="1" applyBorder="1"/>
    <xf numFmtId="6" fontId="36" fillId="0" borderId="0" xfId="0" applyNumberFormat="1" applyFont="1" applyBorder="1"/>
    <xf numFmtId="0" fontId="14" fillId="0" borderId="0" xfId="0" applyFont="1" applyAlignment="1">
      <alignment horizontal="right" vertical="top"/>
    </xf>
    <xf numFmtId="0" fontId="4" fillId="0" borderId="3" xfId="0" applyFont="1" applyBorder="1" applyAlignment="1">
      <alignment horizontal="left" vertical="top" wrapText="1"/>
    </xf>
    <xf numFmtId="0" fontId="4" fillId="3" borderId="5"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0" borderId="8" xfId="0" applyFont="1" applyBorder="1" applyAlignment="1">
      <alignment horizontal="left" vertical="top" wrapText="1"/>
    </xf>
    <xf numFmtId="9" fontId="9" fillId="3" borderId="0" xfId="3" applyFont="1" applyFill="1" applyBorder="1" applyAlignment="1">
      <alignment horizontal="right" vertical="top" wrapText="1"/>
    </xf>
    <xf numFmtId="3" fontId="4" fillId="3" borderId="8" xfId="0" applyNumberFormat="1" applyFont="1" applyFill="1" applyBorder="1" applyAlignment="1">
      <alignment vertical="top" wrapText="1"/>
    </xf>
    <xf numFmtId="3" fontId="4" fillId="3" borderId="21" xfId="0" applyNumberFormat="1" applyFont="1" applyFill="1" applyBorder="1" applyAlignment="1">
      <alignment vertical="top" wrapText="1"/>
    </xf>
    <xf numFmtId="0" fontId="0" fillId="0" borderId="15" xfId="0" applyBorder="1"/>
    <xf numFmtId="0" fontId="0" fillId="0" borderId="8" xfId="0" applyBorder="1"/>
    <xf numFmtId="0" fontId="9" fillId="0" borderId="21" xfId="0" applyFont="1" applyBorder="1" applyAlignment="1">
      <alignment horizontal="left" vertical="top" wrapText="1"/>
    </xf>
    <xf numFmtId="0" fontId="4" fillId="3" borderId="32" xfId="0" applyFont="1" applyFill="1" applyBorder="1" applyAlignment="1">
      <alignment horizontal="left" vertical="top" wrapText="1"/>
    </xf>
    <xf numFmtId="0" fontId="4" fillId="0" borderId="12" xfId="0" applyFont="1" applyBorder="1" applyAlignment="1">
      <alignment horizontal="left" vertical="top" wrapText="1"/>
    </xf>
    <xf numFmtId="0" fontId="4" fillId="3" borderId="12" xfId="0" applyFont="1" applyFill="1" applyBorder="1" applyAlignment="1">
      <alignment horizontal="left" vertical="top" wrapText="1"/>
    </xf>
    <xf numFmtId="0" fontId="10" fillId="13" borderId="27" xfId="0" applyFont="1" applyFill="1" applyBorder="1" applyAlignment="1">
      <alignment horizontal="left" vertical="top" wrapText="1"/>
    </xf>
    <xf numFmtId="0" fontId="0" fillId="16" borderId="0" xfId="0" applyFill="1"/>
    <xf numFmtId="0" fontId="0" fillId="17" borderId="0" xfId="0" applyFill="1"/>
    <xf numFmtId="0" fontId="0" fillId="18" borderId="0" xfId="0" applyFill="1"/>
    <xf numFmtId="0" fontId="0" fillId="19" borderId="0" xfId="0" applyFill="1"/>
    <xf numFmtId="166" fontId="4" fillId="3" borderId="3" xfId="0" applyNumberFormat="1" applyFont="1" applyFill="1" applyBorder="1" applyAlignment="1">
      <alignment horizontal="right" vertical="top"/>
    </xf>
    <xf numFmtId="0" fontId="14" fillId="0" borderId="0" xfId="0" applyFont="1" applyBorder="1" applyAlignment="1">
      <alignment vertical="top" wrapText="1"/>
    </xf>
    <xf numFmtId="3" fontId="27" fillId="0" borderId="81" xfId="0" applyNumberFormat="1" applyFont="1" applyFill="1" applyBorder="1" applyAlignment="1">
      <alignment horizontal="center" vertical="center" wrapText="1"/>
    </xf>
    <xf numFmtId="3" fontId="27" fillId="0" borderId="82" xfId="0" applyNumberFormat="1" applyFont="1" applyFill="1" applyBorder="1" applyAlignment="1">
      <alignment horizontal="center" vertical="center" wrapText="1"/>
    </xf>
    <xf numFmtId="3" fontId="9" fillId="0" borderId="81" xfId="0" applyNumberFormat="1" applyFont="1" applyFill="1" applyBorder="1" applyAlignment="1">
      <alignment horizontal="right" vertical="top" wrapText="1"/>
    </xf>
    <xf numFmtId="0" fontId="4" fillId="10" borderId="57" xfId="0" applyFont="1" applyFill="1" applyBorder="1"/>
    <xf numFmtId="0" fontId="4" fillId="0" borderId="15" xfId="0" applyFont="1" applyBorder="1" applyAlignment="1">
      <alignment horizontal="left" vertical="top" wrapText="1"/>
    </xf>
    <xf numFmtId="3" fontId="9" fillId="3" borderId="83" xfId="0" applyNumberFormat="1" applyFont="1" applyFill="1" applyBorder="1" applyAlignment="1">
      <alignment horizontal="right" vertical="top" wrapText="1"/>
    </xf>
    <xf numFmtId="3" fontId="9" fillId="0" borderId="81" xfId="0" applyNumberFormat="1" applyFont="1" applyBorder="1" applyAlignment="1">
      <alignment horizontal="right" vertical="top" wrapText="1"/>
    </xf>
    <xf numFmtId="3" fontId="9" fillId="0" borderId="82" xfId="0" applyNumberFormat="1" applyFont="1" applyBorder="1" applyAlignment="1">
      <alignment horizontal="right" vertical="top" wrapText="1"/>
    </xf>
    <xf numFmtId="3" fontId="21" fillId="0" borderId="81" xfId="0" applyNumberFormat="1" applyFont="1" applyBorder="1" applyAlignment="1">
      <alignment horizontal="right" vertical="top" wrapText="1"/>
    </xf>
    <xf numFmtId="0" fontId="4" fillId="16" borderId="84" xfId="0" applyFont="1" applyFill="1" applyBorder="1" applyAlignment="1">
      <alignment horizontal="center" vertical="center" wrapText="1"/>
    </xf>
    <xf numFmtId="0" fontId="4" fillId="16" borderId="43" xfId="0" applyFont="1" applyFill="1" applyBorder="1" applyAlignment="1">
      <alignment horizontal="center" vertical="center" wrapText="1"/>
    </xf>
    <xf numFmtId="0" fontId="4" fillId="16" borderId="85" xfId="0" applyFont="1" applyFill="1" applyBorder="1" applyAlignment="1">
      <alignment horizontal="center" vertical="center" wrapText="1"/>
    </xf>
    <xf numFmtId="0" fontId="4" fillId="16" borderId="74" xfId="0" applyFont="1" applyFill="1" applyBorder="1" applyAlignment="1">
      <alignment horizontal="center" vertical="center" wrapText="1"/>
    </xf>
    <xf numFmtId="0" fontId="4" fillId="16" borderId="86" xfId="0" applyFont="1" applyFill="1" applyBorder="1" applyAlignment="1">
      <alignment horizontal="center" vertical="center" wrapText="1"/>
    </xf>
    <xf numFmtId="164" fontId="4" fillId="3" borderId="3" xfId="1" applyNumberFormat="1" applyFont="1" applyFill="1" applyBorder="1" applyAlignment="1">
      <alignment horizontal="right" vertical="top"/>
    </xf>
    <xf numFmtId="3" fontId="4" fillId="3" borderId="3" xfId="0" applyNumberFormat="1" applyFont="1" applyFill="1" applyBorder="1" applyAlignment="1">
      <alignment horizontal="right" vertical="top"/>
    </xf>
    <xf numFmtId="3" fontId="4" fillId="0" borderId="0" xfId="0" applyNumberFormat="1" applyFont="1" applyBorder="1" applyAlignment="1">
      <alignment horizontal="right" vertical="top" wrapText="1"/>
    </xf>
    <xf numFmtId="0" fontId="0" fillId="0" borderId="34" xfId="0" applyBorder="1"/>
    <xf numFmtId="0" fontId="9" fillId="0" borderId="8" xfId="0" applyFont="1" applyBorder="1" applyAlignment="1">
      <alignment vertical="top" wrapText="1"/>
    </xf>
    <xf numFmtId="0" fontId="21" fillId="0" borderId="87" xfId="0" applyFont="1" applyBorder="1" applyAlignment="1">
      <alignment horizontal="right" vertical="top"/>
    </xf>
    <xf numFmtId="0" fontId="9" fillId="0" borderId="51" xfId="0" applyFont="1" applyFill="1" applyBorder="1" applyAlignment="1">
      <alignment vertical="top" wrapText="1"/>
    </xf>
    <xf numFmtId="0" fontId="9" fillId="0" borderId="45" xfId="0" applyFont="1" applyFill="1" applyBorder="1" applyAlignment="1">
      <alignment vertical="top" wrapText="1"/>
    </xf>
    <xf numFmtId="6" fontId="4" fillId="3" borderId="3" xfId="0" applyNumberFormat="1" applyFont="1" applyFill="1" applyBorder="1" applyAlignment="1">
      <alignment horizontal="right" vertical="top"/>
    </xf>
    <xf numFmtId="169" fontId="9" fillId="3" borderId="3" xfId="2" applyNumberFormat="1" applyFont="1" applyFill="1" applyBorder="1" applyAlignment="1">
      <alignment horizontal="right" vertical="top"/>
    </xf>
    <xf numFmtId="167" fontId="9" fillId="0" borderId="31" xfId="0" applyNumberFormat="1" applyFont="1" applyBorder="1" applyAlignment="1">
      <alignment horizontal="right" vertical="top" wrapText="1"/>
    </xf>
    <xf numFmtId="3" fontId="9" fillId="3" borderId="3" xfId="0" applyNumberFormat="1" applyFont="1" applyFill="1" applyBorder="1" applyAlignment="1">
      <alignment horizontal="right" vertical="top"/>
    </xf>
    <xf numFmtId="3" fontId="4" fillId="0" borderId="3" xfId="0" applyNumberFormat="1" applyFont="1" applyBorder="1" applyAlignment="1">
      <alignment horizontal="right" vertical="top"/>
    </xf>
    <xf numFmtId="0" fontId="9" fillId="0" borderId="31" xfId="0" applyFont="1" applyBorder="1" applyAlignment="1">
      <alignment horizontal="left" vertical="top" wrapText="1"/>
    </xf>
    <xf numFmtId="0" fontId="9" fillId="0" borderId="42" xfId="0" applyFont="1" applyBorder="1" applyAlignment="1">
      <alignment horizontal="left" vertical="top" wrapText="1"/>
    </xf>
    <xf numFmtId="0" fontId="9" fillId="3" borderId="2" xfId="0" applyFont="1" applyFill="1" applyBorder="1" applyAlignment="1">
      <alignment horizontal="left" vertical="top" wrapText="1"/>
    </xf>
    <xf numFmtId="0" fontId="4" fillId="3" borderId="0" xfId="0" applyFont="1" applyFill="1" applyBorder="1" applyAlignment="1">
      <alignment horizontal="center" vertical="center"/>
    </xf>
    <xf numFmtId="3" fontId="4" fillId="3" borderId="0" xfId="0" applyNumberFormat="1" applyFont="1" applyFill="1" applyBorder="1" applyAlignment="1">
      <alignment horizontal="right" vertical="top" wrapText="1"/>
    </xf>
    <xf numFmtId="0" fontId="4" fillId="3" borderId="0" xfId="0" applyFont="1" applyFill="1" applyBorder="1" applyAlignment="1">
      <alignment horizontal="right" vertical="top" wrapText="1"/>
    </xf>
    <xf numFmtId="9" fontId="4" fillId="3" borderId="0" xfId="3" applyFont="1" applyFill="1" applyBorder="1" applyAlignment="1">
      <alignment horizontal="right" vertical="top" wrapText="1"/>
    </xf>
    <xf numFmtId="3" fontId="4" fillId="3" borderId="18" xfId="0" applyNumberFormat="1" applyFont="1" applyFill="1" applyBorder="1" applyAlignment="1">
      <alignment horizontal="right" vertical="top" wrapText="1"/>
    </xf>
    <xf numFmtId="0" fontId="13" fillId="3" borderId="31" xfId="0" applyFont="1" applyFill="1" applyBorder="1" applyAlignment="1">
      <alignment horizontal="center" vertical="center" wrapText="1"/>
    </xf>
    <xf numFmtId="0" fontId="4" fillId="0" borderId="15" xfId="0" applyFont="1" applyBorder="1" applyAlignment="1">
      <alignment wrapText="1"/>
    </xf>
    <xf numFmtId="0" fontId="4" fillId="0" borderId="15" xfId="0" applyFont="1" applyBorder="1" applyAlignment="1">
      <alignment vertical="top" wrapText="1"/>
    </xf>
    <xf numFmtId="0" fontId="0" fillId="0" borderId="88" xfId="0" applyBorder="1"/>
    <xf numFmtId="0" fontId="4" fillId="3" borderId="89" xfId="0" applyFont="1" applyFill="1" applyBorder="1" applyAlignment="1">
      <alignment horizontal="left" vertical="top" wrapText="1"/>
    </xf>
    <xf numFmtId="0" fontId="4" fillId="3" borderId="90" xfId="0" applyFont="1" applyFill="1" applyBorder="1" applyAlignment="1">
      <alignment horizontal="left" vertical="top" wrapText="1"/>
    </xf>
    <xf numFmtId="0" fontId="4" fillId="3" borderId="91" xfId="0" applyFont="1" applyFill="1" applyBorder="1" applyAlignment="1">
      <alignment horizontal="left" vertical="top" wrapText="1"/>
    </xf>
    <xf numFmtId="0" fontId="4" fillId="3" borderId="92" xfId="0" applyFont="1" applyFill="1" applyBorder="1" applyAlignment="1">
      <alignment horizontal="left" vertical="top" wrapText="1"/>
    </xf>
    <xf numFmtId="0" fontId="0" fillId="0" borderId="93" xfId="0" applyBorder="1"/>
    <xf numFmtId="0" fontId="4" fillId="0" borderId="49" xfId="0" applyFont="1" applyBorder="1" applyAlignment="1">
      <alignment vertical="top" wrapText="1"/>
    </xf>
    <xf numFmtId="0" fontId="0" fillId="0" borderId="48" xfId="0" applyBorder="1"/>
    <xf numFmtId="0" fontId="9" fillId="0" borderId="2" xfId="0" applyFont="1" applyBorder="1" applyAlignment="1">
      <alignment vertical="top" wrapText="1"/>
    </xf>
    <xf numFmtId="0" fontId="9" fillId="3" borderId="2" xfId="0" applyFont="1" applyFill="1" applyBorder="1" applyAlignment="1">
      <alignment vertical="top" wrapText="1"/>
    </xf>
    <xf numFmtId="0" fontId="4" fillId="0" borderId="15" xfId="0" applyFont="1" applyBorder="1" applyAlignment="1">
      <alignment vertical="top"/>
    </xf>
    <xf numFmtId="0" fontId="9" fillId="0" borderId="21" xfId="0" applyFont="1" applyBorder="1" applyAlignment="1">
      <alignment horizontal="left" vertical="top" wrapText="1"/>
    </xf>
    <xf numFmtId="0" fontId="4" fillId="0" borderId="32" xfId="0" applyFont="1" applyBorder="1" applyAlignment="1">
      <alignment vertical="top" wrapText="1"/>
    </xf>
    <xf numFmtId="0" fontId="0" fillId="3" borderId="15" xfId="0" applyFill="1" applyBorder="1"/>
    <xf numFmtId="0" fontId="0" fillId="3" borderId="28" xfId="0" applyFill="1" applyBorder="1"/>
    <xf numFmtId="0" fontId="9" fillId="3" borderId="32" xfId="0" applyFont="1" applyFill="1" applyBorder="1" applyAlignment="1">
      <alignment horizontal="left" vertical="top" wrapText="1"/>
    </xf>
    <xf numFmtId="0" fontId="9" fillId="3" borderId="14" xfId="0" applyFont="1" applyFill="1" applyBorder="1" applyAlignment="1">
      <alignment horizontal="left" vertical="top" wrapText="1"/>
    </xf>
    <xf numFmtId="0" fontId="4" fillId="3" borderId="80" xfId="0" applyFont="1" applyFill="1" applyBorder="1" applyAlignment="1">
      <alignment horizontal="left" vertical="top" wrapText="1"/>
    </xf>
    <xf numFmtId="0" fontId="4" fillId="3" borderId="62" xfId="0" applyFont="1" applyFill="1" applyBorder="1" applyAlignment="1">
      <alignment horizontal="left" vertical="top" wrapText="1"/>
    </xf>
    <xf numFmtId="0" fontId="9" fillId="3" borderId="12" xfId="0" applyFont="1" applyFill="1" applyBorder="1" applyAlignment="1">
      <alignment horizontal="left" vertical="top" wrapText="1"/>
    </xf>
    <xf numFmtId="0" fontId="4" fillId="0" borderId="69" xfId="0" applyFont="1" applyBorder="1" applyAlignment="1">
      <alignment vertical="top" wrapText="1"/>
    </xf>
    <xf numFmtId="0" fontId="0" fillId="3" borderId="89" xfId="0" applyFill="1" applyBorder="1"/>
    <xf numFmtId="0" fontId="0" fillId="3" borderId="93" xfId="0" applyFill="1" applyBorder="1"/>
    <xf numFmtId="0" fontId="4" fillId="0" borderId="12" xfId="0" applyFont="1" applyFill="1" applyBorder="1" applyAlignment="1">
      <alignment horizontal="left" vertical="top" wrapText="1"/>
    </xf>
    <xf numFmtId="0" fontId="0" fillId="0" borderId="0" xfId="0" applyFill="1"/>
    <xf numFmtId="17" fontId="1" fillId="0" borderId="0" xfId="0" applyNumberFormat="1" applyFont="1"/>
    <xf numFmtId="17" fontId="1" fillId="0" borderId="0" xfId="0" applyNumberFormat="1" applyFont="1" applyBorder="1"/>
    <xf numFmtId="17" fontId="24" fillId="0" borderId="0" xfId="0" applyNumberFormat="1" applyFont="1"/>
    <xf numFmtId="0" fontId="4" fillId="3" borderId="50"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vertical="top" wrapText="1"/>
    </xf>
    <xf numFmtId="0" fontId="4" fillId="3" borderId="5"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50" xfId="0" applyFont="1" applyFill="1" applyBorder="1" applyAlignment="1">
      <alignment horizontal="left" vertical="top" wrapText="1"/>
    </xf>
    <xf numFmtId="0" fontId="4" fillId="16" borderId="21" xfId="0" applyFont="1" applyFill="1" applyBorder="1" applyAlignment="1">
      <alignment horizontal="center" vertical="center" wrapText="1"/>
    </xf>
    <xf numFmtId="0" fontId="4" fillId="0" borderId="8" xfId="0" applyFont="1" applyBorder="1" applyAlignment="1">
      <alignment horizontal="left" vertical="top" wrapText="1"/>
    </xf>
    <xf numFmtId="0" fontId="4" fillId="0" borderId="21" xfId="0" applyFont="1" applyBorder="1" applyAlignment="1">
      <alignment horizontal="left" vertical="top" wrapText="1"/>
    </xf>
    <xf numFmtId="3" fontId="4" fillId="0" borderId="21" xfId="0" applyNumberFormat="1" applyFont="1" applyBorder="1" applyAlignment="1">
      <alignment horizontal="right" vertical="top" wrapText="1"/>
    </xf>
    <xf numFmtId="3" fontId="4" fillId="0" borderId="17" xfId="0" applyNumberFormat="1" applyFont="1" applyBorder="1" applyAlignment="1">
      <alignment horizontal="right" vertical="top" wrapText="1"/>
    </xf>
    <xf numFmtId="0" fontId="4" fillId="0" borderId="21" xfId="0" applyFont="1" applyBorder="1" applyAlignment="1">
      <alignment horizontal="right" vertical="top" wrapText="1"/>
    </xf>
    <xf numFmtId="3" fontId="4" fillId="0" borderId="31" xfId="0" applyNumberFormat="1" applyFont="1" applyBorder="1" applyAlignment="1">
      <alignment horizontal="right" vertical="top" wrapText="1"/>
    </xf>
    <xf numFmtId="3" fontId="4" fillId="0" borderId="48" xfId="0" applyNumberFormat="1" applyFont="1" applyBorder="1" applyAlignment="1">
      <alignment horizontal="right" vertical="top" wrapText="1"/>
    </xf>
    <xf numFmtId="0" fontId="4" fillId="0" borderId="52" xfId="0" applyFont="1" applyBorder="1" applyAlignment="1">
      <alignment horizontal="left" vertical="top" wrapText="1"/>
    </xf>
    <xf numFmtId="0" fontId="4" fillId="0" borderId="3" xfId="0" applyFont="1" applyBorder="1" applyAlignment="1">
      <alignment horizontal="left" vertical="top" wrapText="1"/>
    </xf>
    <xf numFmtId="0" fontId="4" fillId="0" borderId="9" xfId="0" applyFont="1" applyBorder="1" applyAlignment="1">
      <alignment horizontal="left" vertical="top" wrapText="1"/>
    </xf>
    <xf numFmtId="0" fontId="0" fillId="0" borderId="69" xfId="0" applyBorder="1" applyAlignment="1">
      <alignment wrapText="1"/>
    </xf>
    <xf numFmtId="0" fontId="0" fillId="0" borderId="15" xfId="0" applyBorder="1" applyAlignment="1">
      <alignment vertical="top" wrapText="1"/>
    </xf>
    <xf numFmtId="0" fontId="0" fillId="0" borderId="15" xfId="0" applyBorder="1" applyAlignment="1">
      <alignment horizontal="left" vertical="top" wrapText="1"/>
    </xf>
    <xf numFmtId="0" fontId="0" fillId="0" borderId="15" xfId="0" applyBorder="1" applyAlignment="1">
      <alignment vertical="top"/>
    </xf>
    <xf numFmtId="0" fontId="4" fillId="3" borderId="62" xfId="0" applyFont="1" applyFill="1" applyBorder="1" applyAlignment="1">
      <alignment vertical="top" wrapText="1"/>
    </xf>
    <xf numFmtId="0" fontId="9" fillId="0" borderId="32" xfId="0" applyFont="1" applyBorder="1" applyAlignment="1">
      <alignment horizontal="left" vertical="top" wrapText="1"/>
    </xf>
    <xf numFmtId="0" fontId="9" fillId="0" borderId="19" xfId="0" applyFont="1" applyBorder="1" applyAlignment="1">
      <alignment horizontal="left" vertical="top" wrapText="1"/>
    </xf>
    <xf numFmtId="0" fontId="4" fillId="0" borderId="46"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3" fillId="0" borderId="11" xfId="0" applyFont="1" applyBorder="1" applyAlignment="1">
      <alignment vertical="center" wrapText="1"/>
    </xf>
    <xf numFmtId="0" fontId="3" fillId="0" borderId="36" xfId="0" applyFont="1" applyBorder="1" applyAlignment="1">
      <alignment vertical="center" wrapText="1"/>
    </xf>
    <xf numFmtId="0" fontId="4" fillId="0" borderId="46" xfId="0" applyFont="1" applyBorder="1" applyAlignment="1">
      <alignment horizontal="left" vertical="top" wrapText="1"/>
    </xf>
    <xf numFmtId="0" fontId="4" fillId="0" borderId="45" xfId="0" applyFont="1" applyBorder="1" applyAlignment="1">
      <alignment horizontal="left" vertical="top" wrapText="1"/>
    </xf>
    <xf numFmtId="0" fontId="4" fillId="0" borderId="8" xfId="0" applyFont="1" applyBorder="1" applyAlignment="1">
      <alignment horizontal="left" vertical="top" wrapText="1"/>
    </xf>
    <xf numFmtId="0" fontId="4" fillId="0" borderId="47" xfId="0" applyFont="1" applyBorder="1" applyAlignment="1">
      <alignment horizontal="left" vertical="top" wrapText="1"/>
    </xf>
    <xf numFmtId="0" fontId="4" fillId="0" borderId="21" xfId="0" applyFont="1" applyBorder="1" applyAlignment="1">
      <alignment horizontal="left" vertical="top" wrapText="1"/>
    </xf>
    <xf numFmtId="0" fontId="4" fillId="0" borderId="17" xfId="0" applyFont="1" applyBorder="1" applyAlignment="1">
      <alignment horizontal="left" vertical="top" wrapText="1"/>
    </xf>
    <xf numFmtId="0" fontId="4" fillId="0" borderId="51" xfId="0" applyFont="1" applyBorder="1" applyAlignment="1">
      <alignment horizontal="left" vertical="top" wrapText="1"/>
    </xf>
    <xf numFmtId="3" fontId="4" fillId="0" borderId="21" xfId="0" applyNumberFormat="1" applyFont="1" applyBorder="1" applyAlignment="1">
      <alignment horizontal="right" vertical="top" wrapText="1"/>
    </xf>
    <xf numFmtId="3" fontId="4" fillId="0" borderId="17" xfId="0" applyNumberFormat="1" applyFont="1" applyBorder="1" applyAlignment="1">
      <alignment horizontal="right" vertical="top" wrapText="1"/>
    </xf>
    <xf numFmtId="0" fontId="4" fillId="0" borderId="21" xfId="0" applyFont="1" applyBorder="1" applyAlignment="1">
      <alignment horizontal="right" vertical="top" wrapText="1"/>
    </xf>
    <xf numFmtId="0" fontId="4" fillId="0" borderId="17" xfId="0" applyFont="1" applyBorder="1" applyAlignment="1">
      <alignment horizontal="right" vertical="top" wrapText="1"/>
    </xf>
    <xf numFmtId="3" fontId="4" fillId="0" borderId="31" xfId="0" applyNumberFormat="1" applyFont="1" applyBorder="1" applyAlignment="1">
      <alignment horizontal="right" vertical="top" wrapText="1"/>
    </xf>
    <xf numFmtId="3" fontId="4" fillId="0" borderId="48" xfId="0" applyNumberFormat="1" applyFont="1" applyBorder="1" applyAlignment="1">
      <alignment horizontal="right" vertical="top" wrapText="1"/>
    </xf>
    <xf numFmtId="0" fontId="4" fillId="16" borderId="5" xfId="0"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3" borderId="50"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16" borderId="21" xfId="0" applyFont="1" applyFill="1" applyBorder="1" applyAlignment="1">
      <alignment horizontal="center" vertical="center" wrapText="1"/>
    </xf>
    <xf numFmtId="0" fontId="4" fillId="16" borderId="17"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0" borderId="52" xfId="0" applyFont="1" applyBorder="1" applyAlignment="1">
      <alignment horizontal="left" vertical="top" wrapText="1"/>
    </xf>
    <xf numFmtId="0" fontId="4" fillId="0" borderId="3" xfId="0" applyFont="1" applyBorder="1" applyAlignment="1">
      <alignment horizontal="left" vertical="top" wrapText="1"/>
    </xf>
    <xf numFmtId="0" fontId="7" fillId="13" borderId="55" xfId="0" applyFont="1" applyFill="1" applyBorder="1" applyAlignment="1">
      <alignment horizontal="left" vertical="top" wrapText="1"/>
    </xf>
    <xf numFmtId="0" fontId="7" fillId="13" borderId="56"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8" xfId="0" applyFont="1" applyFill="1" applyBorder="1" applyAlignment="1">
      <alignment horizontal="left" vertical="top" wrapText="1"/>
    </xf>
    <xf numFmtId="3" fontId="4" fillId="0" borderId="24" xfId="0" applyNumberFormat="1" applyFont="1" applyBorder="1" applyAlignment="1">
      <alignment horizontal="right" vertical="top" wrapText="1"/>
    </xf>
    <xf numFmtId="3" fontId="4" fillId="0" borderId="25" xfId="0" applyNumberFormat="1" applyFont="1" applyBorder="1" applyAlignment="1">
      <alignment horizontal="right" vertical="top" wrapText="1"/>
    </xf>
    <xf numFmtId="0" fontId="4" fillId="0" borderId="24" xfId="0" applyFont="1" applyBorder="1" applyAlignment="1">
      <alignment horizontal="right" vertical="top" wrapText="1"/>
    </xf>
    <xf numFmtId="0" fontId="4" fillId="0" borderId="25" xfId="0" applyFont="1" applyBorder="1" applyAlignment="1">
      <alignment horizontal="right" vertical="top" wrapText="1"/>
    </xf>
    <xf numFmtId="3" fontId="4" fillId="0" borderId="20" xfId="0" applyNumberFormat="1" applyFont="1" applyBorder="1" applyAlignment="1">
      <alignment horizontal="right" vertical="top" wrapText="1"/>
    </xf>
    <xf numFmtId="3" fontId="4" fillId="0" borderId="11" xfId="0" applyNumberFormat="1" applyFont="1" applyBorder="1" applyAlignment="1">
      <alignment horizontal="right" vertical="top" wrapText="1"/>
    </xf>
    <xf numFmtId="0" fontId="14" fillId="0" borderId="11" xfId="0" applyFont="1" applyBorder="1" applyAlignment="1">
      <alignment horizontal="left" vertical="top" wrapText="1"/>
    </xf>
    <xf numFmtId="0" fontId="14" fillId="0" borderId="0" xfId="0" applyFont="1" applyBorder="1" applyAlignment="1">
      <alignment horizontal="left" vertical="top" wrapText="1"/>
    </xf>
    <xf numFmtId="0" fontId="3" fillId="0" borderId="0" xfId="0" applyFont="1" applyAlignment="1">
      <alignment horizontal="right" vertical="center"/>
    </xf>
    <xf numFmtId="0" fontId="3" fillId="0" borderId="26" xfId="0" applyFont="1" applyBorder="1" applyAlignment="1">
      <alignment vertical="center" wrapText="1"/>
    </xf>
    <xf numFmtId="3" fontId="4" fillId="3" borderId="8" xfId="0" applyNumberFormat="1" applyFont="1" applyFill="1" applyBorder="1" applyAlignment="1">
      <alignment horizontal="right" vertical="top" wrapText="1"/>
    </xf>
    <xf numFmtId="0" fontId="4" fillId="3" borderId="8" xfId="0" applyFont="1" applyFill="1" applyBorder="1" applyAlignment="1">
      <alignment horizontal="right" vertical="top" wrapText="1"/>
    </xf>
    <xf numFmtId="9" fontId="4" fillId="3" borderId="8" xfId="3" applyFont="1" applyFill="1" applyBorder="1" applyAlignment="1">
      <alignment horizontal="right" vertical="top" wrapText="1"/>
    </xf>
    <xf numFmtId="3" fontId="4" fillId="3" borderId="3" xfId="0" applyNumberFormat="1" applyFont="1" applyFill="1" applyBorder="1" applyAlignment="1">
      <alignment horizontal="right" vertical="top" wrapText="1"/>
    </xf>
    <xf numFmtId="0" fontId="4" fillId="0" borderId="32" xfId="0" applyFont="1" applyBorder="1" applyAlignment="1">
      <alignment horizontal="left" vertical="top" wrapText="1"/>
    </xf>
    <xf numFmtId="0" fontId="4" fillId="0" borderId="19" xfId="0" applyFont="1" applyBorder="1" applyAlignment="1">
      <alignment horizontal="left" vertical="top" wrapText="1"/>
    </xf>
    <xf numFmtId="3" fontId="4" fillId="3" borderId="4" xfId="0" applyNumberFormat="1" applyFont="1" applyFill="1" applyBorder="1" applyAlignment="1">
      <alignment horizontal="right" vertical="top" wrapText="1"/>
    </xf>
    <xf numFmtId="0" fontId="3" fillId="3" borderId="31"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5" xfId="0" applyFont="1" applyFill="1" applyBorder="1" applyAlignment="1">
      <alignment horizontal="center" vertical="center"/>
    </xf>
    <xf numFmtId="0" fontId="4" fillId="0" borderId="32" xfId="0" applyFont="1" applyBorder="1" applyAlignment="1">
      <alignment horizontal="center" vertical="center" wrapText="1"/>
    </xf>
    <xf numFmtId="0" fontId="4" fillId="0" borderId="19" xfId="0" applyFont="1" applyBorder="1" applyAlignment="1">
      <alignment horizontal="center" vertical="center" wrapText="1"/>
    </xf>
    <xf numFmtId="3" fontId="4" fillId="3" borderId="48" xfId="0" applyNumberFormat="1" applyFont="1" applyFill="1" applyBorder="1" applyAlignment="1">
      <alignment horizontal="right" vertical="top" wrapText="1"/>
    </xf>
    <xf numFmtId="15" fontId="3" fillId="0" borderId="0" xfId="0" applyNumberFormat="1" applyFont="1" applyAlignment="1">
      <alignment horizontal="right" vertical="center"/>
    </xf>
    <xf numFmtId="15" fontId="7" fillId="0" borderId="0" xfId="0" applyNumberFormat="1" applyFont="1" applyAlignment="1">
      <alignment horizontal="right" vertical="center"/>
    </xf>
    <xf numFmtId="0" fontId="4" fillId="0" borderId="5" xfId="0" applyFont="1" applyBorder="1" applyAlignment="1">
      <alignment horizontal="center" vertical="top" wrapText="1"/>
    </xf>
    <xf numFmtId="0" fontId="4" fillId="0" borderId="17" xfId="0" applyFont="1" applyBorder="1" applyAlignment="1">
      <alignment horizontal="center" vertical="top" wrapText="1"/>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9" fillId="0" borderId="21" xfId="0" applyFont="1" applyBorder="1" applyAlignment="1">
      <alignment horizontal="left" vertical="top" wrapText="1"/>
    </xf>
    <xf numFmtId="0" fontId="9" fillId="0" borderId="17" xfId="0" applyFont="1" applyBorder="1" applyAlignment="1">
      <alignment horizontal="left" vertical="top" wrapText="1"/>
    </xf>
    <xf numFmtId="0" fontId="9" fillId="0" borderId="46" xfId="0" applyFont="1" applyBorder="1" applyAlignment="1">
      <alignment horizontal="left" vertical="top" wrapText="1"/>
    </xf>
    <xf numFmtId="0" fontId="9" fillId="0" borderId="47" xfId="0" applyFont="1" applyBorder="1" applyAlignment="1">
      <alignment horizontal="left" vertical="top" wrapText="1"/>
    </xf>
    <xf numFmtId="0" fontId="4" fillId="16" borderId="8" xfId="0" applyFont="1" applyFill="1" applyBorder="1" applyAlignment="1">
      <alignment horizontal="center" vertical="center" wrapText="1"/>
    </xf>
    <xf numFmtId="0" fontId="4" fillId="0" borderId="5" xfId="0" applyFont="1" applyBorder="1" applyAlignment="1">
      <alignment horizontal="left" vertical="top" wrapText="1"/>
    </xf>
    <xf numFmtId="0" fontId="7" fillId="2" borderId="55" xfId="0" applyFont="1" applyFill="1" applyBorder="1" applyAlignment="1">
      <alignment horizontal="left" vertical="top" wrapText="1"/>
    </xf>
    <xf numFmtId="0" fontId="7" fillId="2" borderId="56" xfId="0" applyFont="1" applyFill="1" applyBorder="1" applyAlignment="1">
      <alignment horizontal="left" vertical="top" wrapText="1"/>
    </xf>
    <xf numFmtId="0" fontId="7" fillId="2" borderId="57" xfId="0" applyFont="1" applyFill="1" applyBorder="1" applyAlignment="1">
      <alignment horizontal="left" vertical="top" wrapText="1"/>
    </xf>
    <xf numFmtId="0" fontId="0" fillId="3" borderId="89" xfId="0" applyFill="1" applyBorder="1" applyAlignment="1">
      <alignment horizontal="center"/>
    </xf>
    <xf numFmtId="0" fontId="0" fillId="3" borderId="93" xfId="0" applyFill="1" applyBorder="1" applyAlignment="1">
      <alignment horizontal="center"/>
    </xf>
    <xf numFmtId="0" fontId="4" fillId="0" borderId="14" xfId="0" applyFont="1" applyBorder="1" applyAlignment="1">
      <alignment horizontal="left" vertical="top" wrapText="1"/>
    </xf>
    <xf numFmtId="0" fontId="4" fillId="16" borderId="46" xfId="0" applyFont="1" applyFill="1" applyBorder="1" applyAlignment="1">
      <alignment horizontal="center" vertical="center" wrapText="1"/>
    </xf>
    <xf numFmtId="0" fontId="4" fillId="16" borderId="47" xfId="0" applyFont="1" applyFill="1" applyBorder="1" applyAlignment="1">
      <alignment horizontal="center" vertical="center" wrapText="1"/>
    </xf>
    <xf numFmtId="0" fontId="9" fillId="0" borderId="51" xfId="0" applyFont="1" applyFill="1" applyBorder="1" applyAlignment="1">
      <alignment horizontal="left" vertical="top" wrapText="1"/>
    </xf>
    <xf numFmtId="0" fontId="9" fillId="0" borderId="45" xfId="0" applyFont="1" applyFill="1" applyBorder="1" applyAlignment="1">
      <alignment horizontal="left" vertical="top" wrapText="1"/>
    </xf>
    <xf numFmtId="0" fontId="9" fillId="0" borderId="52" xfId="0" applyFont="1" applyFill="1" applyBorder="1" applyAlignment="1">
      <alignment horizontal="left" vertical="top" wrapText="1"/>
    </xf>
    <xf numFmtId="0" fontId="4" fillId="0" borderId="9" xfId="0" applyFont="1" applyBorder="1" applyAlignment="1">
      <alignment horizontal="left" vertical="top" wrapText="1"/>
    </xf>
    <xf numFmtId="0" fontId="4" fillId="0" borderId="3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13" fillId="0" borderId="2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7" xfId="0" applyFont="1" applyBorder="1" applyAlignment="1">
      <alignment horizontal="center" vertical="center" wrapText="1"/>
    </xf>
    <xf numFmtId="0" fontId="13" fillId="3" borderId="2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4" fillId="3" borderId="89" xfId="0" applyFont="1" applyFill="1" applyBorder="1" applyAlignment="1">
      <alignment horizontal="center" vertical="top" wrapText="1"/>
    </xf>
    <xf numFmtId="0" fontId="4" fillId="3" borderId="93" xfId="0" applyFont="1" applyFill="1" applyBorder="1" applyAlignment="1">
      <alignment horizontal="center" vertical="top" wrapText="1"/>
    </xf>
    <xf numFmtId="0" fontId="38" fillId="0" borderId="0" xfId="0" applyFont="1" applyAlignment="1">
      <alignment horizontal="left" vertical="top" wrapText="1"/>
    </xf>
    <xf numFmtId="0" fontId="4" fillId="0" borderId="23" xfId="0" applyFont="1" applyFill="1" applyBorder="1" applyAlignment="1">
      <alignment vertical="center" wrapText="1"/>
    </xf>
    <xf numFmtId="165" fontId="4" fillId="0" borderId="23" xfId="2" applyNumberFormat="1" applyFont="1" applyBorder="1" applyAlignment="1">
      <alignment horizontal="center" vertical="center"/>
    </xf>
    <xf numFmtId="165" fontId="4" fillId="3" borderId="23" xfId="2" applyNumberFormat="1" applyFont="1" applyFill="1" applyBorder="1" applyAlignment="1">
      <alignment horizontal="right"/>
    </xf>
    <xf numFmtId="0" fontId="9" fillId="3" borderId="31" xfId="0" applyFont="1" applyFill="1" applyBorder="1" applyAlignment="1">
      <alignment horizontal="right" vertical="top" wrapText="1"/>
    </xf>
    <xf numFmtId="0" fontId="4" fillId="0" borderId="22" xfId="0" applyFont="1" applyBorder="1" applyAlignment="1">
      <alignment horizontal="left" vertical="top" wrapText="1"/>
    </xf>
    <xf numFmtId="0" fontId="4" fillId="16" borderId="2" xfId="0" applyFont="1" applyFill="1" applyBorder="1" applyAlignment="1">
      <alignment horizontal="center" vertical="center" wrapText="1"/>
    </xf>
    <xf numFmtId="0" fontId="4" fillId="0" borderId="49" xfId="0" applyFont="1" applyBorder="1" applyAlignment="1">
      <alignment horizontal="left" vertical="top" wrapText="1"/>
    </xf>
    <xf numFmtId="3" fontId="9" fillId="0" borderId="94" xfId="0" applyNumberFormat="1" applyFont="1" applyBorder="1" applyAlignment="1">
      <alignment horizontal="right" vertical="top" wrapText="1"/>
    </xf>
    <xf numFmtId="0" fontId="4" fillId="0" borderId="40" xfId="0" applyFont="1" applyBorder="1" applyAlignment="1">
      <alignment horizontal="left" vertical="top" wrapText="1"/>
    </xf>
    <xf numFmtId="165" fontId="4" fillId="3" borderId="23" xfId="2" applyNumberFormat="1" applyFont="1" applyFill="1" applyBorder="1" applyAlignment="1"/>
    <xf numFmtId="0" fontId="4" fillId="0" borderId="40" xfId="0" applyFont="1" applyBorder="1" applyAlignment="1">
      <alignment vertical="top"/>
    </xf>
    <xf numFmtId="0" fontId="4" fillId="0" borderId="22" xfId="0" applyFont="1" applyBorder="1" applyAlignment="1">
      <alignment vertical="top" wrapText="1"/>
    </xf>
    <xf numFmtId="3" fontId="9" fillId="0" borderId="14" xfId="0" applyNumberFormat="1" applyFont="1" applyBorder="1" applyAlignment="1">
      <alignment horizontal="right" vertical="top" wrapText="1"/>
    </xf>
    <xf numFmtId="165" fontId="4" fillId="0" borderId="23" xfId="2" applyNumberFormat="1" applyFont="1" applyBorder="1" applyAlignment="1">
      <alignment horizontal="right"/>
    </xf>
    <xf numFmtId="0" fontId="4" fillId="0" borderId="48" xfId="0"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right" vertical="top"/>
    </xf>
    <xf numFmtId="3" fontId="9" fillId="0" borderId="9" xfId="0" applyNumberFormat="1" applyFont="1" applyBorder="1" applyAlignment="1">
      <alignment horizontal="right" vertical="top"/>
    </xf>
    <xf numFmtId="0" fontId="9" fillId="0" borderId="9" xfId="0" applyFont="1" applyBorder="1" applyAlignment="1">
      <alignment horizontal="right" vertical="top" wrapText="1"/>
    </xf>
    <xf numFmtId="0" fontId="9" fillId="0" borderId="14" xfId="0" applyFont="1" applyBorder="1" applyAlignment="1">
      <alignment horizontal="right" vertical="top" wrapText="1"/>
    </xf>
    <xf numFmtId="0" fontId="4" fillId="0" borderId="95" xfId="0" applyFont="1" applyBorder="1" applyAlignment="1">
      <alignment vertical="top" wrapText="1"/>
    </xf>
    <xf numFmtId="0" fontId="4" fillId="0" borderId="42" xfId="0" applyFont="1" applyBorder="1" applyAlignment="1">
      <alignment vertical="top" wrapText="1"/>
    </xf>
    <xf numFmtId="0" fontId="4" fillId="0" borderId="42" xfId="0" applyFont="1" applyBorder="1" applyAlignment="1">
      <alignment horizontal="center" vertical="center"/>
    </xf>
    <xf numFmtId="0" fontId="9" fillId="3" borderId="42" xfId="0" applyFont="1" applyFill="1" applyBorder="1" applyAlignment="1">
      <alignment horizontal="right" vertical="top"/>
    </xf>
    <xf numFmtId="3" fontId="9" fillId="3" borderId="42" xfId="0" applyNumberFormat="1" applyFont="1" applyFill="1" applyBorder="1" applyAlignment="1">
      <alignment horizontal="right" vertical="top"/>
    </xf>
    <xf numFmtId="3" fontId="9" fillId="3" borderId="42" xfId="0" applyNumberFormat="1" applyFont="1" applyFill="1" applyBorder="1" applyAlignment="1">
      <alignment horizontal="right" vertical="top" wrapText="1"/>
    </xf>
    <xf numFmtId="0" fontId="9" fillId="3" borderId="2" xfId="0" applyFont="1" applyFill="1" applyBorder="1" applyAlignment="1">
      <alignment horizontal="right" vertical="top" wrapText="1"/>
    </xf>
    <xf numFmtId="167" fontId="9" fillId="3" borderId="80" xfId="0" applyNumberFormat="1" applyFont="1" applyFill="1" applyBorder="1" applyAlignment="1">
      <alignment horizontal="right" vertical="top" wrapText="1"/>
    </xf>
    <xf numFmtId="0" fontId="4" fillId="0" borderId="70" xfId="0" applyFont="1" applyBorder="1" applyAlignment="1">
      <alignment vertical="top"/>
    </xf>
    <xf numFmtId="0" fontId="7" fillId="13" borderId="59" xfId="0" applyFont="1" applyFill="1" applyBorder="1" applyAlignment="1">
      <alignment vertical="center"/>
    </xf>
    <xf numFmtId="0" fontId="4" fillId="13" borderId="60" xfId="0" applyFont="1" applyFill="1" applyBorder="1"/>
    <xf numFmtId="0" fontId="9" fillId="13" borderId="60" xfId="0" applyFont="1" applyFill="1" applyBorder="1" applyAlignment="1">
      <alignment vertical="top" wrapText="1"/>
    </xf>
    <xf numFmtId="0" fontId="10" fillId="13" borderId="60" xfId="0" applyFont="1" applyFill="1" applyBorder="1" applyAlignment="1">
      <alignment horizontal="left" vertical="top" wrapText="1"/>
    </xf>
    <xf numFmtId="0" fontId="4" fillId="13" borderId="60" xfId="0" applyFont="1" applyFill="1" applyBorder="1" applyAlignment="1">
      <alignment horizontal="center" vertical="center" wrapText="1"/>
    </xf>
    <xf numFmtId="0" fontId="21" fillId="13" borderId="60" xfId="0" applyFont="1" applyFill="1" applyBorder="1" applyAlignment="1">
      <alignment horizontal="center" vertical="center" wrapText="1"/>
    </xf>
    <xf numFmtId="0" fontId="21" fillId="13" borderId="60" xfId="0" applyFont="1" applyFill="1" applyBorder="1"/>
    <xf numFmtId="0" fontId="21" fillId="13" borderId="66" xfId="0" applyFont="1" applyFill="1" applyBorder="1"/>
    <xf numFmtId="0" fontId="10" fillId="13" borderId="66" xfId="0" applyFont="1" applyFill="1" applyBorder="1" applyAlignment="1">
      <alignment horizontal="left" vertical="top" wrapText="1"/>
    </xf>
    <xf numFmtId="0" fontId="22" fillId="0" borderId="15" xfId="0" applyFont="1" applyBorder="1" applyAlignment="1">
      <alignment vertical="top"/>
    </xf>
    <xf numFmtId="0" fontId="4" fillId="0" borderId="28" xfId="0" applyFont="1" applyBorder="1" applyAlignment="1">
      <alignment vertical="top" wrapText="1"/>
    </xf>
    <xf numFmtId="0" fontId="4" fillId="0" borderId="28" xfId="0" applyFont="1" applyBorder="1" applyAlignment="1">
      <alignment vertical="top"/>
    </xf>
    <xf numFmtId="0" fontId="3" fillId="0" borderId="28" xfId="0" applyFont="1" applyBorder="1" applyAlignment="1">
      <alignment vertical="top"/>
    </xf>
    <xf numFmtId="0" fontId="3" fillId="15" borderId="28" xfId="0" applyFont="1" applyFill="1" applyBorder="1" applyAlignment="1">
      <alignment vertical="top" wrapText="1"/>
    </xf>
    <xf numFmtId="6" fontId="4" fillId="0" borderId="27" xfId="0" applyNumberFormat="1" applyFont="1" applyBorder="1" applyAlignment="1">
      <alignment horizontal="right" vertical="top" wrapText="1"/>
    </xf>
    <xf numFmtId="6" fontId="4" fillId="0" borderId="28" xfId="0" applyNumberFormat="1" applyFont="1" applyBorder="1" applyAlignment="1">
      <alignment horizontal="right" vertical="top"/>
    </xf>
    <xf numFmtId="6" fontId="3" fillId="0" borderId="28" xfId="0" applyNumberFormat="1" applyFont="1" applyBorder="1" applyAlignment="1">
      <alignment horizontal="right" vertical="top"/>
    </xf>
    <xf numFmtId="6" fontId="3" fillId="15" borderId="28" xfId="0" applyNumberFormat="1" applyFont="1" applyFill="1" applyBorder="1" applyAlignment="1">
      <alignment horizontal="right" vertical="top"/>
    </xf>
    <xf numFmtId="0" fontId="30" fillId="0" borderId="15" xfId="0" applyFont="1" applyBorder="1" applyAlignment="1">
      <alignment vertical="top"/>
    </xf>
    <xf numFmtId="0" fontId="4" fillId="0" borderId="23" xfId="0" applyFont="1" applyFill="1" applyBorder="1" applyAlignment="1">
      <alignment vertical="top" wrapText="1"/>
    </xf>
    <xf numFmtId="0" fontId="4" fillId="0" borderId="0" xfId="0" applyFont="1" applyBorder="1" applyAlignment="1">
      <alignment vertical="center"/>
    </xf>
    <xf numFmtId="6" fontId="4" fillId="0" borderId="0" xfId="0" applyNumberFormat="1" applyFont="1" applyBorder="1" applyAlignment="1">
      <alignment horizontal="right" vertical="center"/>
    </xf>
    <xf numFmtId="0" fontId="7" fillId="8" borderId="29" xfId="0" applyFont="1" applyFill="1" applyBorder="1" applyAlignment="1">
      <alignment vertical="top"/>
    </xf>
    <xf numFmtId="0" fontId="4" fillId="0" borderId="43" xfId="0" applyFont="1" applyBorder="1" applyAlignment="1">
      <alignment horizontal="left" vertical="top" wrapText="1"/>
    </xf>
    <xf numFmtId="3" fontId="4" fillId="0" borderId="28" xfId="0" applyNumberFormat="1" applyFont="1" applyBorder="1" applyAlignment="1">
      <alignment horizontal="right" vertical="top" wrapText="1"/>
    </xf>
    <xf numFmtId="0" fontId="4" fillId="0" borderId="31" xfId="0" applyFont="1" applyBorder="1" applyAlignment="1">
      <alignment horizontal="center" vertical="center"/>
    </xf>
    <xf numFmtId="3" fontId="4" fillId="0" borderId="22" xfId="0" applyNumberFormat="1" applyFont="1" applyBorder="1" applyAlignment="1">
      <alignment horizontal="right" vertical="top" wrapText="1"/>
    </xf>
    <xf numFmtId="0" fontId="4" fillId="3" borderId="52" xfId="0" applyFont="1" applyFill="1" applyBorder="1" applyAlignment="1">
      <alignment vertical="top" wrapText="1"/>
    </xf>
  </cellXfs>
  <cellStyles count="4">
    <cellStyle name="Comma" xfId="1" builtinId="3"/>
    <cellStyle name="Currency" xfId="2" builtinId="4"/>
    <cellStyle name="Normal" xfId="0" builtinId="0"/>
    <cellStyle name="Percent" xfId="3" builtinId="5"/>
  </cellStyles>
  <dxfs count="472">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5" tint="0.39994506668294322"/>
        </patternFill>
      </fill>
    </dxf>
    <dxf>
      <fill>
        <patternFill>
          <bgColor rgb="FFFFC000"/>
        </patternFill>
      </fill>
    </dxf>
    <dxf>
      <fill>
        <patternFill>
          <bgColor theme="5" tint="0.39994506668294322"/>
        </patternFill>
      </fill>
    </dxf>
    <dxf>
      <fill>
        <patternFill>
          <bgColor rgb="FFFFC000"/>
        </patternFill>
      </fill>
    </dxf>
    <dxf>
      <fill>
        <patternFill>
          <bgColor theme="5" tint="0.39994506668294322"/>
        </patternFill>
      </fill>
    </dxf>
    <dxf>
      <fill>
        <patternFill>
          <bgColor rgb="FFFFC000"/>
        </patternFill>
      </fill>
    </dxf>
    <dxf>
      <fill>
        <patternFill>
          <bgColor theme="5" tint="0.39994506668294322"/>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FFFF99"/>
      <color rgb="FFC6D4D4"/>
      <color rgb="FFFFFFFF"/>
      <color rgb="FFC0D9DA"/>
      <color rgb="FFD3C7CB"/>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8"/>
  <sheetViews>
    <sheetView workbookViewId="0">
      <selection activeCell="B7" sqref="B7"/>
    </sheetView>
  </sheetViews>
  <sheetFormatPr defaultRowHeight="15" x14ac:dyDescent="0.25"/>
  <cols>
    <col min="1" max="1" width="32.140625" customWidth="1"/>
  </cols>
  <sheetData>
    <row r="1" spans="1:2" x14ac:dyDescent="0.25">
      <c r="A1" s="84" t="s">
        <v>325</v>
      </c>
      <c r="B1" s="176"/>
    </row>
    <row r="2" spans="1:2" x14ac:dyDescent="0.25">
      <c r="A2" s="176" t="s">
        <v>326</v>
      </c>
      <c r="B2" s="176"/>
    </row>
    <row r="3" spans="1:2" x14ac:dyDescent="0.25">
      <c r="A3" t="s">
        <v>327</v>
      </c>
      <c r="B3" s="176"/>
    </row>
    <row r="4" spans="1:2" x14ac:dyDescent="0.25">
      <c r="A4" t="s">
        <v>328</v>
      </c>
      <c r="B4" s="176"/>
    </row>
    <row r="5" spans="1:2" x14ac:dyDescent="0.25">
      <c r="A5" t="s">
        <v>329</v>
      </c>
      <c r="B5" s="176"/>
    </row>
    <row r="6" spans="1:2" x14ac:dyDescent="0.25">
      <c r="A6" t="s">
        <v>330</v>
      </c>
    </row>
    <row r="7" spans="1:2" x14ac:dyDescent="0.25">
      <c r="A7" t="s">
        <v>365</v>
      </c>
    </row>
    <row r="8" spans="1:2" s="176" customFormat="1" x14ac:dyDescent="0.25"/>
    <row r="9" spans="1:2" x14ac:dyDescent="0.25">
      <c r="A9" s="215" t="s">
        <v>338</v>
      </c>
    </row>
    <row r="10" spans="1:2" x14ac:dyDescent="0.25">
      <c r="A10" t="s">
        <v>339</v>
      </c>
    </row>
    <row r="11" spans="1:2" x14ac:dyDescent="0.25">
      <c r="A11" t="s">
        <v>340</v>
      </c>
    </row>
    <row r="12" spans="1:2" x14ac:dyDescent="0.25">
      <c r="A12" t="s">
        <v>341</v>
      </c>
    </row>
    <row r="13" spans="1:2" x14ac:dyDescent="0.25">
      <c r="A13" t="s">
        <v>342</v>
      </c>
    </row>
    <row r="14" spans="1:2" x14ac:dyDescent="0.25">
      <c r="A14" t="s">
        <v>343</v>
      </c>
    </row>
    <row r="15" spans="1:2" x14ac:dyDescent="0.25">
      <c r="A15" t="s">
        <v>344</v>
      </c>
    </row>
    <row r="17" spans="1:1" x14ac:dyDescent="0.25">
      <c r="A17" s="215" t="s">
        <v>354</v>
      </c>
    </row>
    <row r="19" spans="1:1" x14ac:dyDescent="0.25">
      <c r="A19" s="750" t="s">
        <v>355</v>
      </c>
    </row>
    <row r="20" spans="1:1" x14ac:dyDescent="0.25">
      <c r="A20" t="s">
        <v>356</v>
      </c>
    </row>
    <row r="21" spans="1:1" x14ac:dyDescent="0.25">
      <c r="A21" t="s">
        <v>357</v>
      </c>
    </row>
    <row r="22" spans="1:1" x14ac:dyDescent="0.25">
      <c r="A22" t="s">
        <v>358</v>
      </c>
    </row>
    <row r="23" spans="1:1" x14ac:dyDescent="0.25">
      <c r="A23" t="s">
        <v>359</v>
      </c>
    </row>
    <row r="24" spans="1:1" x14ac:dyDescent="0.25">
      <c r="A24" t="s">
        <v>360</v>
      </c>
    </row>
    <row r="25" spans="1:1" x14ac:dyDescent="0.25">
      <c r="A25" t="s">
        <v>361</v>
      </c>
    </row>
    <row r="26" spans="1:1" x14ac:dyDescent="0.25">
      <c r="A26" t="s">
        <v>362</v>
      </c>
    </row>
    <row r="27" spans="1:1" x14ac:dyDescent="0.25">
      <c r="A27" t="s">
        <v>363</v>
      </c>
    </row>
    <row r="28" spans="1:1" x14ac:dyDescent="0.25">
      <c r="A28" t="s">
        <v>351</v>
      </c>
    </row>
    <row r="29" spans="1:1" x14ac:dyDescent="0.25">
      <c r="A29" t="s">
        <v>375</v>
      </c>
    </row>
    <row r="30" spans="1:1" x14ac:dyDescent="0.25">
      <c r="A30" t="s">
        <v>348</v>
      </c>
    </row>
    <row r="31" spans="1:1" x14ac:dyDescent="0.25">
      <c r="A31" t="s">
        <v>349</v>
      </c>
    </row>
    <row r="32" spans="1:1" x14ac:dyDescent="0.25">
      <c r="A32" t="s">
        <v>350</v>
      </c>
    </row>
    <row r="33" spans="1:1" x14ac:dyDescent="0.25">
      <c r="A33" t="s">
        <v>346</v>
      </c>
    </row>
    <row r="34" spans="1:1" x14ac:dyDescent="0.25">
      <c r="A34" t="s">
        <v>353</v>
      </c>
    </row>
    <row r="35" spans="1:1" x14ac:dyDescent="0.25">
      <c r="A35" t="s">
        <v>347</v>
      </c>
    </row>
    <row r="36" spans="1:1" x14ac:dyDescent="0.25">
      <c r="A36" t="s">
        <v>352</v>
      </c>
    </row>
    <row r="37" spans="1:1" x14ac:dyDescent="0.25">
      <c r="A37" t="s">
        <v>345</v>
      </c>
    </row>
    <row r="38" spans="1:1" x14ac:dyDescent="0.25">
      <c r="A38" t="s">
        <v>383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S35"/>
  <sheetViews>
    <sheetView topLeftCell="A10" zoomScaleNormal="100" workbookViewId="0">
      <selection activeCell="S16" sqref="S16"/>
    </sheetView>
  </sheetViews>
  <sheetFormatPr defaultRowHeight="15" x14ac:dyDescent="0.25"/>
  <cols>
    <col min="1" max="1" width="15.85546875" customWidth="1"/>
    <col min="2" max="2" width="45.28515625" customWidth="1"/>
    <col min="3" max="3" width="40.7109375" customWidth="1"/>
    <col min="4" max="4" width="41.28515625" customWidth="1"/>
    <col min="5" max="6" width="8.140625" hidden="1" customWidth="1"/>
    <col min="7" max="7" width="7.85546875" hidden="1" customWidth="1"/>
    <col min="8" max="8" width="10" hidden="1" customWidth="1"/>
    <col min="9" max="9" width="7.28515625" hidden="1" customWidth="1"/>
    <col min="10" max="10" width="6.5703125" hidden="1" customWidth="1"/>
    <col min="11" max="11" width="8.42578125" hidden="1" customWidth="1"/>
    <col min="12" max="12" width="9.140625" style="178"/>
    <col min="13" max="13" width="39.42578125" style="178" customWidth="1"/>
    <col min="14" max="16" width="9.140625" style="178"/>
    <col min="17" max="17" width="6.7109375" style="178" hidden="1" customWidth="1"/>
    <col min="18" max="18" width="0" style="178" hidden="1" customWidth="1"/>
    <col min="19" max="19" width="9.140625" style="178"/>
  </cols>
  <sheetData>
    <row r="1" spans="1:19" ht="18" x14ac:dyDescent="0.25">
      <c r="A1" s="735" t="s">
        <v>557</v>
      </c>
      <c r="J1" s="4"/>
      <c r="K1" s="573" t="s">
        <v>331</v>
      </c>
      <c r="M1" s="1015">
        <v>43586</v>
      </c>
    </row>
    <row r="2" spans="1:19" ht="4.5" customHeight="1" thickBot="1" x14ac:dyDescent="0.3"/>
    <row r="3" spans="1:19" ht="15.75" x14ac:dyDescent="0.25">
      <c r="A3" s="293" t="s">
        <v>197</v>
      </c>
      <c r="B3" s="294"/>
      <c r="C3" s="294"/>
      <c r="D3" s="294"/>
      <c r="E3" s="294"/>
      <c r="F3" s="294"/>
      <c r="G3" s="294"/>
      <c r="H3" s="294"/>
      <c r="I3" s="294"/>
      <c r="J3" s="294"/>
      <c r="K3" s="296"/>
      <c r="L3" s="294"/>
      <c r="M3" s="296"/>
      <c r="Q3" s="176"/>
      <c r="R3" s="176"/>
    </row>
    <row r="4" spans="1:19" s="176" customFormat="1" ht="30"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N4" s="178"/>
      <c r="O4" s="178"/>
      <c r="P4" s="178"/>
      <c r="Q4" s="945"/>
      <c r="R4" s="176" t="s">
        <v>136</v>
      </c>
      <c r="S4" s="178"/>
    </row>
    <row r="5" spans="1:19" s="176" customFormat="1" ht="27.75" customHeight="1" x14ac:dyDescent="0.25">
      <c r="A5" s="1049" t="s">
        <v>205</v>
      </c>
      <c r="B5" s="144" t="s">
        <v>412</v>
      </c>
      <c r="C5" s="147" t="s">
        <v>42</v>
      </c>
      <c r="D5" s="415" t="s">
        <v>46</v>
      </c>
      <c r="E5" s="72"/>
      <c r="F5" s="798">
        <v>5.0499999999999998E-3</v>
      </c>
      <c r="G5" s="617">
        <f>F5*(153939*1.025)</f>
        <v>796.82674874999987</v>
      </c>
      <c r="H5" s="488">
        <v>712</v>
      </c>
      <c r="I5" s="488">
        <f>G5+H5</f>
        <v>1508.8267487499998</v>
      </c>
      <c r="J5" s="531">
        <v>1</v>
      </c>
      <c r="K5" s="820">
        <f>I5*J5</f>
        <v>1508.8267487499998</v>
      </c>
      <c r="L5" s="960" t="s">
        <v>136</v>
      </c>
      <c r="M5" s="941" t="s">
        <v>624</v>
      </c>
      <c r="N5" s="178"/>
      <c r="O5" s="178"/>
      <c r="P5" s="178"/>
      <c r="Q5" s="946"/>
      <c r="R5" s="176" t="s">
        <v>496</v>
      </c>
      <c r="S5" s="178"/>
    </row>
    <row r="6" spans="1:19" ht="41.25" customHeight="1" x14ac:dyDescent="0.25">
      <c r="A6" s="1050"/>
      <c r="B6" s="144" t="s">
        <v>40</v>
      </c>
      <c r="C6" s="144" t="s">
        <v>45</v>
      </c>
      <c r="D6" s="144" t="s">
        <v>366</v>
      </c>
      <c r="E6" s="8"/>
      <c r="F6" s="12"/>
      <c r="G6" s="12"/>
      <c r="H6" s="12"/>
      <c r="I6" s="12"/>
      <c r="J6" s="12"/>
      <c r="K6" s="187"/>
      <c r="L6" s="960" t="s">
        <v>136</v>
      </c>
      <c r="M6" s="1017" t="s">
        <v>622</v>
      </c>
      <c r="Q6" s="947"/>
      <c r="R6" s="176" t="s">
        <v>497</v>
      </c>
    </row>
    <row r="7" spans="1:19" ht="27" customHeight="1" x14ac:dyDescent="0.25">
      <c r="A7" s="223"/>
      <c r="B7" s="413" t="s">
        <v>41</v>
      </c>
      <c r="C7" s="413" t="s">
        <v>43</v>
      </c>
      <c r="D7" s="717" t="s">
        <v>373</v>
      </c>
      <c r="E7" s="7"/>
      <c r="F7" s="7"/>
      <c r="G7" s="12"/>
      <c r="H7" s="13"/>
      <c r="I7" s="12"/>
      <c r="J7" s="13"/>
      <c r="K7" s="187"/>
      <c r="L7" s="960" t="s">
        <v>136</v>
      </c>
      <c r="M7" s="987" t="s">
        <v>623</v>
      </c>
      <c r="Q7" s="948"/>
      <c r="R7" s="176" t="s">
        <v>498</v>
      </c>
    </row>
    <row r="8" spans="1:19" ht="29.25" customHeight="1" thickBot="1" x14ac:dyDescent="0.3">
      <c r="A8" s="223"/>
      <c r="B8" s="144" t="s">
        <v>37</v>
      </c>
      <c r="C8" s="144" t="s">
        <v>44</v>
      </c>
      <c r="D8" s="336" t="s">
        <v>664</v>
      </c>
      <c r="E8" s="7"/>
      <c r="F8" s="7"/>
      <c r="G8" s="12"/>
      <c r="H8" s="13"/>
      <c r="I8" s="12"/>
      <c r="J8" s="13"/>
      <c r="K8" s="187"/>
      <c r="L8" s="960" t="s">
        <v>136</v>
      </c>
      <c r="M8" s="1184" t="s">
        <v>624</v>
      </c>
    </row>
    <row r="9" spans="1:19" ht="15.75" x14ac:dyDescent="0.25">
      <c r="A9" s="207" t="s">
        <v>198</v>
      </c>
      <c r="B9" s="208"/>
      <c r="C9" s="208"/>
      <c r="D9" s="208"/>
      <c r="E9" s="208"/>
      <c r="F9" s="208"/>
      <c r="G9" s="208"/>
      <c r="H9" s="208"/>
      <c r="I9" s="208"/>
      <c r="J9" s="208"/>
      <c r="K9" s="211"/>
      <c r="L9" s="691"/>
      <c r="M9" s="692"/>
    </row>
    <row r="10" spans="1:19" ht="30.75"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9" ht="41.25" customHeight="1" x14ac:dyDescent="0.25">
      <c r="A11" s="1050" t="s">
        <v>204</v>
      </c>
      <c r="B11" s="3" t="s">
        <v>6</v>
      </c>
      <c r="C11" s="1051" t="s">
        <v>665</v>
      </c>
      <c r="D11" s="570" t="s">
        <v>262</v>
      </c>
      <c r="E11" s="7"/>
      <c r="F11" s="799">
        <v>5.7000000000000002E-3</v>
      </c>
      <c r="G11" s="1087">
        <f>F11*(176702*1.025)</f>
        <v>1032.381435</v>
      </c>
      <c r="H11" s="1088" t="s">
        <v>22</v>
      </c>
      <c r="I11" s="1087">
        <f>G11</f>
        <v>1032.381435</v>
      </c>
      <c r="J11" s="1089">
        <v>1</v>
      </c>
      <c r="K11" s="1090">
        <f>I11*J11</f>
        <v>1032.381435</v>
      </c>
      <c r="L11" s="1066" t="s">
        <v>136</v>
      </c>
      <c r="M11" s="938"/>
    </row>
    <row r="12" spans="1:19" ht="41.25" customHeight="1" thickBot="1" x14ac:dyDescent="0.3">
      <c r="A12" s="1071"/>
      <c r="B12" s="3" t="s">
        <v>7</v>
      </c>
      <c r="C12" s="1051"/>
      <c r="D12" s="68"/>
      <c r="E12" s="75"/>
      <c r="F12" s="608"/>
      <c r="G12" s="1087"/>
      <c r="H12" s="1088"/>
      <c r="I12" s="1087"/>
      <c r="J12" s="1089"/>
      <c r="K12" s="1090"/>
      <c r="L12" s="1067"/>
      <c r="M12" s="938"/>
    </row>
    <row r="13" spans="1:19" s="176" customFormat="1" ht="16.5" customHeight="1" x14ac:dyDescent="0.25">
      <c r="A13" s="624" t="s">
        <v>209</v>
      </c>
      <c r="B13" s="625"/>
      <c r="C13" s="625"/>
      <c r="D13" s="625"/>
      <c r="E13" s="625"/>
      <c r="F13" s="625"/>
      <c r="G13" s="625"/>
      <c r="H13" s="625"/>
      <c r="I13" s="625"/>
      <c r="J13" s="625"/>
      <c r="K13" s="626"/>
      <c r="L13" s="625"/>
      <c r="M13" s="626"/>
      <c r="N13" s="178"/>
      <c r="O13" s="178"/>
      <c r="P13" s="178"/>
      <c r="Q13" s="178"/>
      <c r="R13" s="178"/>
      <c r="S13" s="178"/>
    </row>
    <row r="14" spans="1:19" s="176" customFormat="1" ht="30" customHeight="1" thickBot="1" x14ac:dyDescent="0.3">
      <c r="A14" s="627" t="s">
        <v>0</v>
      </c>
      <c r="B14" s="628" t="s">
        <v>1</v>
      </c>
      <c r="C14" s="628" t="s">
        <v>14</v>
      </c>
      <c r="D14" s="628" t="s">
        <v>32</v>
      </c>
      <c r="E14" s="628" t="s">
        <v>18</v>
      </c>
      <c r="F14" s="628" t="s">
        <v>30</v>
      </c>
      <c r="G14" s="628" t="s">
        <v>2</v>
      </c>
      <c r="H14" s="628" t="s">
        <v>3</v>
      </c>
      <c r="I14" s="628" t="s">
        <v>4</v>
      </c>
      <c r="J14" s="628" t="s">
        <v>29</v>
      </c>
      <c r="K14" s="629" t="s">
        <v>15</v>
      </c>
      <c r="L14" s="628" t="s">
        <v>18</v>
      </c>
      <c r="M14" s="629" t="s">
        <v>495</v>
      </c>
      <c r="N14" s="178"/>
      <c r="O14" s="178"/>
      <c r="P14" s="178"/>
      <c r="Q14" s="178"/>
      <c r="R14" s="178"/>
      <c r="S14" s="178"/>
    </row>
    <row r="15" spans="1:19" s="176" customFormat="1" ht="39" customHeight="1" x14ac:dyDescent="0.25">
      <c r="A15" s="1049" t="s">
        <v>663</v>
      </c>
      <c r="B15" s="940" t="s">
        <v>504</v>
      </c>
      <c r="C15" s="978" t="s">
        <v>499</v>
      </c>
      <c r="D15" s="757" t="s">
        <v>452</v>
      </c>
      <c r="E15" s="69"/>
      <c r="F15" s="760">
        <v>7.4599999999999996E-3</v>
      </c>
      <c r="G15" s="609">
        <f>F15*(153816*1.025)</f>
        <v>1176.1540439999999</v>
      </c>
      <c r="H15" s="473">
        <v>0</v>
      </c>
      <c r="I15" s="472">
        <f>G15</f>
        <v>1176.1540439999999</v>
      </c>
      <c r="J15" s="485">
        <v>1</v>
      </c>
      <c r="K15" s="486">
        <f>I15*J15</f>
        <v>1176.1540439999999</v>
      </c>
      <c r="L15" s="960" t="s">
        <v>136</v>
      </c>
      <c r="M15" s="1091" t="s">
        <v>668</v>
      </c>
      <c r="N15" s="178"/>
      <c r="O15" s="178"/>
      <c r="P15" s="178"/>
      <c r="Q15" s="178"/>
      <c r="R15" s="178"/>
      <c r="S15" s="178"/>
    </row>
    <row r="16" spans="1:19" s="176" customFormat="1" ht="52.5" customHeight="1" thickBot="1" x14ac:dyDescent="0.3">
      <c r="A16" s="1050"/>
      <c r="B16" s="979" t="s">
        <v>36</v>
      </c>
      <c r="C16" s="979" t="s">
        <v>38</v>
      </c>
      <c r="D16" s="980" t="s">
        <v>514</v>
      </c>
      <c r="E16" s="70"/>
      <c r="F16" s="35"/>
      <c r="G16" s="34"/>
      <c r="H16" s="34"/>
      <c r="I16" s="34"/>
      <c r="J16" s="34"/>
      <c r="K16" s="187"/>
      <c r="L16" s="960" t="s">
        <v>136</v>
      </c>
      <c r="M16" s="1092"/>
      <c r="N16" s="178"/>
      <c r="O16" s="178"/>
      <c r="P16" s="178"/>
      <c r="Q16" s="178"/>
      <c r="R16" s="178"/>
      <c r="S16" s="178"/>
    </row>
    <row r="17" spans="1:13" ht="16.5" thickBot="1" x14ac:dyDescent="0.3">
      <c r="A17" s="36" t="s">
        <v>199</v>
      </c>
      <c r="B17" s="23"/>
      <c r="C17" s="24"/>
      <c r="D17" s="25"/>
      <c r="E17" s="26"/>
      <c r="F17" s="26"/>
      <c r="G17" s="27"/>
      <c r="H17" s="27"/>
      <c r="I17" s="27"/>
      <c r="J17" s="27"/>
      <c r="K17" s="28"/>
      <c r="L17" s="25"/>
      <c r="M17" s="944"/>
    </row>
    <row r="18" spans="1:13" ht="15.75" x14ac:dyDescent="0.25">
      <c r="A18" s="193" t="s">
        <v>200</v>
      </c>
      <c r="B18" s="194"/>
      <c r="C18" s="194"/>
      <c r="D18" s="194"/>
      <c r="E18" s="194"/>
      <c r="F18" s="194"/>
      <c r="G18" s="194"/>
      <c r="H18" s="194"/>
      <c r="I18" s="194"/>
      <c r="J18" s="194"/>
      <c r="K18" s="195"/>
      <c r="L18" s="194"/>
      <c r="M18" s="195"/>
    </row>
    <row r="19" spans="1:13" ht="30.75" customHeight="1" thickBot="1" x14ac:dyDescent="0.3">
      <c r="A19" s="279" t="s">
        <v>0</v>
      </c>
      <c r="B19" s="267" t="s">
        <v>1</v>
      </c>
      <c r="C19" s="280" t="s">
        <v>14</v>
      </c>
      <c r="D19" s="267" t="s">
        <v>17</v>
      </c>
      <c r="E19" s="268" t="s">
        <v>18</v>
      </c>
      <c r="F19" s="268" t="s">
        <v>30</v>
      </c>
      <c r="G19" s="268" t="s">
        <v>2</v>
      </c>
      <c r="H19" s="280" t="s">
        <v>3</v>
      </c>
      <c r="I19" s="267" t="s">
        <v>4</v>
      </c>
      <c r="J19" s="280" t="s">
        <v>5</v>
      </c>
      <c r="K19" s="281" t="s">
        <v>31</v>
      </c>
      <c r="L19" s="267" t="s">
        <v>18</v>
      </c>
      <c r="M19" s="281" t="s">
        <v>495</v>
      </c>
    </row>
    <row r="20" spans="1:13" ht="28.5" customHeight="1" x14ac:dyDescent="0.25">
      <c r="A20" s="1049" t="s">
        <v>202</v>
      </c>
      <c r="B20" s="1053" t="s">
        <v>8</v>
      </c>
      <c r="C20" s="242" t="s">
        <v>9</v>
      </c>
      <c r="D20" s="242" t="s">
        <v>34</v>
      </c>
      <c r="E20" s="60"/>
      <c r="F20" s="800">
        <v>8.8000000000000005E-3</v>
      </c>
      <c r="G20" s="472">
        <f>F20*(128495*1.025)</f>
        <v>1159.0249000000001</v>
      </c>
      <c r="H20" s="473">
        <v>73</v>
      </c>
      <c r="I20" s="472">
        <f>G20+H20</f>
        <v>1232.0249000000001</v>
      </c>
      <c r="J20" s="485">
        <v>1</v>
      </c>
      <c r="K20" s="486">
        <f>I20*J20</f>
        <v>1232.0249000000001</v>
      </c>
      <c r="L20" s="960" t="s">
        <v>136</v>
      </c>
      <c r="M20" s="1012" t="s">
        <v>538</v>
      </c>
    </row>
    <row r="21" spans="1:13" ht="30" customHeight="1" thickBot="1" x14ac:dyDescent="0.3">
      <c r="A21" s="1052"/>
      <c r="B21" s="1051"/>
      <c r="C21" s="179" t="s">
        <v>236</v>
      </c>
      <c r="D21" s="179" t="s">
        <v>35</v>
      </c>
      <c r="E21" s="7"/>
      <c r="F21" s="7"/>
      <c r="G21" s="185"/>
      <c r="H21" s="185"/>
      <c r="I21" s="186"/>
      <c r="J21" s="185"/>
      <c r="K21" s="192" t="s">
        <v>196</v>
      </c>
      <c r="L21" s="960" t="s">
        <v>136</v>
      </c>
      <c r="M21" s="942" t="s">
        <v>527</v>
      </c>
    </row>
    <row r="22" spans="1:13" ht="15.75" x14ac:dyDescent="0.25">
      <c r="A22" s="205" t="s">
        <v>201</v>
      </c>
      <c r="B22" s="206"/>
      <c r="C22" s="206"/>
      <c r="D22" s="206"/>
      <c r="E22" s="206"/>
      <c r="F22" s="206"/>
      <c r="G22" s="206"/>
      <c r="H22" s="206"/>
      <c r="I22" s="206"/>
      <c r="J22" s="206"/>
      <c r="K22" s="210"/>
      <c r="L22" s="206"/>
      <c r="M22" s="210"/>
    </row>
    <row r="23" spans="1:13" ht="29.25" customHeight="1" thickBot="1" x14ac:dyDescent="0.3">
      <c r="A23" s="271" t="s">
        <v>0</v>
      </c>
      <c r="B23" s="266" t="s">
        <v>1</v>
      </c>
      <c r="C23" s="272" t="s">
        <v>14</v>
      </c>
      <c r="D23" s="266" t="s">
        <v>17</v>
      </c>
      <c r="E23" s="266" t="s">
        <v>18</v>
      </c>
      <c r="F23" s="266" t="s">
        <v>30</v>
      </c>
      <c r="G23" s="266" t="s">
        <v>2</v>
      </c>
      <c r="H23" s="272" t="s">
        <v>3</v>
      </c>
      <c r="I23" s="266" t="s">
        <v>4</v>
      </c>
      <c r="J23" s="272" t="s">
        <v>5</v>
      </c>
      <c r="K23" s="273" t="s">
        <v>31</v>
      </c>
      <c r="L23" s="266" t="s">
        <v>18</v>
      </c>
      <c r="M23" s="273" t="s">
        <v>495</v>
      </c>
    </row>
    <row r="24" spans="1:13" ht="27.75" customHeight="1" x14ac:dyDescent="0.25">
      <c r="A24" s="1049" t="s">
        <v>203</v>
      </c>
      <c r="B24" s="1053" t="s">
        <v>10</v>
      </c>
      <c r="C24" s="462" t="s">
        <v>19</v>
      </c>
      <c r="D24" s="103" t="s">
        <v>245</v>
      </c>
      <c r="E24" s="30"/>
      <c r="F24" s="615">
        <v>0</v>
      </c>
      <c r="G24" s="614">
        <v>0</v>
      </c>
      <c r="H24" s="614">
        <f>2*21.42</f>
        <v>42.84</v>
      </c>
      <c r="I24" s="614">
        <f>H24</f>
        <v>42.84</v>
      </c>
      <c r="J24" s="485">
        <v>1</v>
      </c>
      <c r="K24" s="614">
        <f>I24*J24</f>
        <v>42.84</v>
      </c>
      <c r="L24" s="964" t="s">
        <v>136</v>
      </c>
      <c r="M24" s="1039" t="s">
        <v>548</v>
      </c>
    </row>
    <row r="25" spans="1:13" ht="27.75" customHeight="1" thickBot="1" x14ac:dyDescent="0.3">
      <c r="A25" s="1052"/>
      <c r="B25" s="1054"/>
      <c r="C25" s="463" t="s">
        <v>11</v>
      </c>
      <c r="D25" s="196" t="s">
        <v>246</v>
      </c>
      <c r="E25" s="11"/>
      <c r="F25" s="11"/>
      <c r="G25" s="17"/>
      <c r="H25" s="18"/>
      <c r="I25" s="52"/>
      <c r="J25" s="18"/>
      <c r="K25" s="437"/>
      <c r="L25" s="961" t="s">
        <v>136</v>
      </c>
      <c r="M25" s="1040"/>
    </row>
    <row r="26" spans="1:13" ht="3.75" customHeight="1" thickBot="1" x14ac:dyDescent="0.3">
      <c r="G26" s="897" t="s">
        <v>432</v>
      </c>
    </row>
    <row r="27" spans="1:13" ht="15.75" thickBot="1" x14ac:dyDescent="0.3">
      <c r="A27" s="2"/>
      <c r="B27" s="1045" t="s">
        <v>12</v>
      </c>
      <c r="C27" s="32" t="s">
        <v>48</v>
      </c>
      <c r="D27" s="79">
        <v>1176.1540439999999</v>
      </c>
      <c r="E27" s="5"/>
      <c r="F27" s="5"/>
      <c r="G27" s="878">
        <v>1154</v>
      </c>
    </row>
    <row r="28" spans="1:13" ht="15.75" thickBot="1" x14ac:dyDescent="0.3">
      <c r="A28" s="2"/>
      <c r="B28" s="1046"/>
      <c r="C28" s="21" t="s">
        <v>49</v>
      </c>
      <c r="D28" s="80">
        <v>1032.381435</v>
      </c>
      <c r="E28" s="5"/>
      <c r="F28" s="5"/>
      <c r="G28" s="872">
        <v>1007</v>
      </c>
    </row>
    <row r="29" spans="1:13" ht="15.75" thickBot="1" x14ac:dyDescent="0.3">
      <c r="A29" s="2"/>
      <c r="B29" s="1046"/>
      <c r="C29" s="21" t="s">
        <v>50</v>
      </c>
      <c r="D29" s="80">
        <v>1508.8267487499998</v>
      </c>
      <c r="E29" s="5"/>
      <c r="F29" s="5"/>
      <c r="G29" s="846">
        <v>1482</v>
      </c>
    </row>
    <row r="30" spans="1:13" ht="15.75" thickBot="1" x14ac:dyDescent="0.3">
      <c r="A30" s="2"/>
      <c r="B30" s="1046"/>
      <c r="C30" s="81" t="s">
        <v>51</v>
      </c>
      <c r="D30" s="80">
        <v>1275.0248999999999</v>
      </c>
      <c r="E30" s="6"/>
      <c r="F30" s="6"/>
      <c r="G30" s="872">
        <v>1204</v>
      </c>
    </row>
    <row r="31" spans="1:13" ht="15.75" hidden="1" thickBot="1" x14ac:dyDescent="0.3">
      <c r="A31" s="2"/>
      <c r="B31" s="1046"/>
      <c r="C31" s="43" t="s">
        <v>23</v>
      </c>
      <c r="D31" s="82">
        <v>4992.2271277500004</v>
      </c>
      <c r="E31" s="6"/>
      <c r="F31" s="6"/>
      <c r="G31" s="898">
        <v>4890.78</v>
      </c>
    </row>
    <row r="32" spans="1:13" ht="15.75" thickBot="1" x14ac:dyDescent="0.3">
      <c r="A32" s="2"/>
      <c r="B32" s="1048"/>
      <c r="C32" s="738" t="s">
        <v>310</v>
      </c>
      <c r="D32" s="739">
        <v>553</v>
      </c>
      <c r="E32" s="6"/>
      <c r="F32" s="6"/>
      <c r="G32" s="176" t="s">
        <v>433</v>
      </c>
    </row>
    <row r="33" spans="1:6" x14ac:dyDescent="0.25">
      <c r="B33" s="33"/>
      <c r="D33" s="47"/>
      <c r="E33" s="55">
        <v>24.19</v>
      </c>
      <c r="F33" s="55"/>
    </row>
    <row r="34" spans="1:6" x14ac:dyDescent="0.25">
      <c r="A34" s="176"/>
      <c r="D34" s="54"/>
      <c r="E34" s="47">
        <v>18</v>
      </c>
      <c r="F34" s="47"/>
    </row>
    <row r="35" spans="1:6" x14ac:dyDescent="0.25">
      <c r="A35" s="176"/>
    </row>
  </sheetData>
  <mergeCells count="17">
    <mergeCell ref="M24:M25"/>
    <mergeCell ref="L11:L12"/>
    <mergeCell ref="G11:G12"/>
    <mergeCell ref="H11:H12"/>
    <mergeCell ref="I11:I12"/>
    <mergeCell ref="J11:J12"/>
    <mergeCell ref="K11:K12"/>
    <mergeCell ref="M15:M16"/>
    <mergeCell ref="C11:C12"/>
    <mergeCell ref="A5:A6"/>
    <mergeCell ref="A15:A16"/>
    <mergeCell ref="A11:A12"/>
    <mergeCell ref="B27:B32"/>
    <mergeCell ref="B20:B21"/>
    <mergeCell ref="B24:B25"/>
    <mergeCell ref="A20:A21"/>
    <mergeCell ref="A24:A25"/>
  </mergeCells>
  <conditionalFormatting sqref="L20:L21">
    <cfRule type="cellIs" dxfId="315" priority="1" operator="equal">
      <formula>$P$7</formula>
    </cfRule>
    <cfRule type="cellIs" dxfId="314" priority="2" operator="equal">
      <formula>$P$6</formula>
    </cfRule>
    <cfRule type="cellIs" dxfId="313" priority="3" operator="equal">
      <formula>$P$5</formula>
    </cfRule>
    <cfRule type="cellIs" dxfId="312" priority="4" operator="notEqual">
      <formula>$P$4</formula>
    </cfRule>
  </conditionalFormatting>
  <conditionalFormatting sqref="L5:L8">
    <cfRule type="cellIs" dxfId="311" priority="17" operator="equal">
      <formula>$P$7</formula>
    </cfRule>
    <cfRule type="cellIs" dxfId="310" priority="18" operator="equal">
      <formula>$P$6</formula>
    </cfRule>
    <cfRule type="cellIs" dxfId="309" priority="19" operator="equal">
      <formula>$P$5</formula>
    </cfRule>
    <cfRule type="cellIs" dxfId="308" priority="20" operator="notEqual">
      <formula>$P$4</formula>
    </cfRule>
  </conditionalFormatting>
  <conditionalFormatting sqref="L11">
    <cfRule type="cellIs" dxfId="307" priority="13" operator="equal">
      <formula>$P$7</formula>
    </cfRule>
    <cfRule type="cellIs" dxfId="306" priority="14" operator="equal">
      <formula>$P$6</formula>
    </cfRule>
    <cfRule type="cellIs" dxfId="305" priority="15" operator="equal">
      <formula>$P$5</formula>
    </cfRule>
    <cfRule type="cellIs" dxfId="304" priority="16" operator="notEqual">
      <formula>$P$4</formula>
    </cfRule>
  </conditionalFormatting>
  <conditionalFormatting sqref="L15:L16">
    <cfRule type="cellIs" dxfId="303" priority="9" operator="equal">
      <formula>$P$7</formula>
    </cfRule>
    <cfRule type="cellIs" dxfId="302" priority="10" operator="equal">
      <formula>$P$6</formula>
    </cfRule>
    <cfRule type="cellIs" dxfId="301" priority="11" operator="equal">
      <formula>$P$5</formula>
    </cfRule>
    <cfRule type="cellIs" dxfId="300" priority="12" operator="notEqual">
      <formula>$P$4</formula>
    </cfRule>
  </conditionalFormatting>
  <conditionalFormatting sqref="L24:L25">
    <cfRule type="cellIs" dxfId="299" priority="5" operator="equal">
      <formula>$P$7</formula>
    </cfRule>
    <cfRule type="cellIs" dxfId="298" priority="6" operator="equal">
      <formula>$P$6</formula>
    </cfRule>
    <cfRule type="cellIs" dxfId="297" priority="7" operator="equal">
      <formula>$P$5</formula>
    </cfRule>
    <cfRule type="cellIs" dxfId="296" priority="8" operator="notEqual">
      <formula>$P$4</formula>
    </cfRule>
  </conditionalFormatting>
  <dataValidations count="1">
    <dataValidation type="list" allowBlank="1" showInputMessage="1" showErrorMessage="1" sqref="L5:L8 L11 L15:L16 L24:L25 L20:L21" xr:uid="{3C878E5D-9F97-4299-B221-39F90E1FD0E0}">
      <formula1>$P$4:$P$7</formula1>
    </dataValidation>
  </dataValidations>
  <pageMargins left="0.70866141732283472" right="0.70866141732283472" top="0.55118110236220474" bottom="0.55118110236220474"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R36"/>
  <sheetViews>
    <sheetView zoomScaleNormal="100" workbookViewId="0">
      <selection activeCell="S13" sqref="S12:S13"/>
    </sheetView>
  </sheetViews>
  <sheetFormatPr defaultRowHeight="15" x14ac:dyDescent="0.25"/>
  <cols>
    <col min="1" max="1" width="17.42578125" customWidth="1"/>
    <col min="2" max="2" width="45.28515625" customWidth="1"/>
    <col min="3" max="3" width="39.140625" customWidth="1"/>
    <col min="4" max="4" width="39.7109375" customWidth="1"/>
    <col min="5" max="5" width="8.140625" hidden="1" customWidth="1"/>
    <col min="6" max="6" width="7.28515625" hidden="1" customWidth="1"/>
    <col min="7" max="7" width="7.85546875" hidden="1" customWidth="1"/>
    <col min="8" max="8" width="10" hidden="1" customWidth="1"/>
    <col min="9" max="10" width="7.28515625" hidden="1" customWidth="1"/>
    <col min="11" max="11" width="8.85546875" hidden="1" customWidth="1"/>
    <col min="13" max="13" width="41.85546875" customWidth="1"/>
    <col min="17" max="18" width="0" hidden="1" customWidth="1"/>
  </cols>
  <sheetData>
    <row r="1" spans="1:18" ht="18" x14ac:dyDescent="0.25">
      <c r="A1" s="735" t="s">
        <v>558</v>
      </c>
      <c r="J1" s="4"/>
      <c r="K1" s="573" t="s">
        <v>331</v>
      </c>
      <c r="M1" s="1014">
        <v>43586</v>
      </c>
    </row>
    <row r="2" spans="1:18" ht="3" customHeight="1" thickBot="1" x14ac:dyDescent="0.3"/>
    <row r="3" spans="1:18" s="176" customFormat="1" ht="15.75" customHeight="1" x14ac:dyDescent="0.25">
      <c r="A3" s="782" t="s">
        <v>197</v>
      </c>
      <c r="B3" s="294"/>
      <c r="C3" s="294"/>
      <c r="D3" s="294"/>
      <c r="E3" s="294"/>
      <c r="F3" s="294"/>
      <c r="G3" s="294"/>
      <c r="H3" s="294"/>
      <c r="I3" s="294"/>
      <c r="J3" s="294"/>
      <c r="K3" s="296"/>
      <c r="L3" s="294"/>
      <c r="M3" s="296"/>
    </row>
    <row r="4" spans="1:18" s="176" customFormat="1" ht="31.5"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Q4" s="945"/>
      <c r="R4" s="176" t="s">
        <v>136</v>
      </c>
    </row>
    <row r="5" spans="1:18" ht="27" customHeight="1" x14ac:dyDescent="0.25">
      <c r="A5" s="1049" t="s">
        <v>205</v>
      </c>
      <c r="B5" s="144" t="s">
        <v>412</v>
      </c>
      <c r="C5" s="147" t="s">
        <v>42</v>
      </c>
      <c r="D5" s="415" t="s">
        <v>46</v>
      </c>
      <c r="E5" s="72"/>
      <c r="F5" s="62">
        <v>0.02</v>
      </c>
      <c r="G5" s="65">
        <f>F5*(153939*1.025)</f>
        <v>3155.7494999999994</v>
      </c>
      <c r="H5" s="62">
        <v>285</v>
      </c>
      <c r="I5" s="51">
        <f>G5+H5</f>
        <v>3440.7494999999994</v>
      </c>
      <c r="J5" s="477">
        <v>0.5</v>
      </c>
      <c r="K5" s="246">
        <f>I5*J5</f>
        <v>1720.3747499999997</v>
      </c>
      <c r="L5" s="960" t="s">
        <v>136</v>
      </c>
      <c r="M5" s="941" t="s">
        <v>626</v>
      </c>
      <c r="Q5" s="946"/>
      <c r="R5" s="176" t="s">
        <v>496</v>
      </c>
    </row>
    <row r="6" spans="1:18" ht="40.5" customHeight="1" x14ac:dyDescent="0.25">
      <c r="A6" s="1050"/>
      <c r="B6" s="144" t="s">
        <v>40</v>
      </c>
      <c r="C6" s="144" t="s">
        <v>45</v>
      </c>
      <c r="D6" s="144" t="s">
        <v>366</v>
      </c>
      <c r="E6" s="8"/>
      <c r="F6" s="12"/>
      <c r="G6" s="12"/>
      <c r="H6" s="12"/>
      <c r="I6" s="12"/>
      <c r="J6" s="12"/>
      <c r="K6" s="14"/>
      <c r="L6" s="960" t="s">
        <v>136</v>
      </c>
      <c r="M6" s="1017" t="s">
        <v>622</v>
      </c>
      <c r="Q6" s="947"/>
      <c r="R6" s="176" t="s">
        <v>497</v>
      </c>
    </row>
    <row r="7" spans="1:18" ht="28.5" customHeight="1" x14ac:dyDescent="0.25">
      <c r="A7" s="223"/>
      <c r="B7" s="413" t="s">
        <v>41</v>
      </c>
      <c r="C7" s="413" t="s">
        <v>43</v>
      </c>
      <c r="D7" s="717" t="s">
        <v>378</v>
      </c>
      <c r="E7" s="7"/>
      <c r="F7" s="7"/>
      <c r="G7" s="12"/>
      <c r="H7" s="13"/>
      <c r="I7" s="12"/>
      <c r="J7" s="13"/>
      <c r="K7" s="14"/>
      <c r="L7" s="960" t="s">
        <v>136</v>
      </c>
      <c r="M7" s="988" t="s">
        <v>623</v>
      </c>
      <c r="Q7" s="948"/>
      <c r="R7" s="176" t="s">
        <v>498</v>
      </c>
    </row>
    <row r="8" spans="1:18" ht="27" customHeight="1" thickBot="1" x14ac:dyDescent="0.3">
      <c r="A8" s="223"/>
      <c r="B8" s="144" t="s">
        <v>37</v>
      </c>
      <c r="C8" s="144" t="s">
        <v>44</v>
      </c>
      <c r="D8" s="336" t="s">
        <v>661</v>
      </c>
      <c r="E8" s="7"/>
      <c r="F8" s="7"/>
      <c r="G8" s="12"/>
      <c r="H8" s="13"/>
      <c r="I8" s="12"/>
      <c r="J8" s="13"/>
      <c r="K8" s="14"/>
      <c r="L8" s="960" t="s">
        <v>136</v>
      </c>
      <c r="M8" s="988" t="s">
        <v>627</v>
      </c>
    </row>
    <row r="9" spans="1:18" ht="17.25" customHeight="1" x14ac:dyDescent="0.25">
      <c r="A9" s="781" t="s">
        <v>198</v>
      </c>
      <c r="B9" s="208"/>
      <c r="C9" s="208"/>
      <c r="D9" s="208"/>
      <c r="E9" s="208"/>
      <c r="F9" s="208"/>
      <c r="G9" s="208"/>
      <c r="H9" s="208"/>
      <c r="I9" s="208"/>
      <c r="J9" s="208"/>
      <c r="K9" s="211"/>
      <c r="L9" s="691"/>
      <c r="M9" s="692"/>
    </row>
    <row r="10" spans="1:18" ht="30"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8" ht="40.5" customHeight="1" x14ac:dyDescent="0.25">
      <c r="A11" s="1050" t="s">
        <v>204</v>
      </c>
      <c r="B11" s="3" t="s">
        <v>6</v>
      </c>
      <c r="C11" s="1051" t="s">
        <v>27</v>
      </c>
      <c r="D11" s="1053" t="s">
        <v>253</v>
      </c>
      <c r="E11" s="7"/>
      <c r="F11" s="759">
        <v>0.1033</v>
      </c>
      <c r="G11" s="48">
        <f>F11*(176702*1.025)</f>
        <v>18709.649515000001</v>
      </c>
      <c r="H11" s="578" t="s">
        <v>22</v>
      </c>
      <c r="I11" s="49">
        <f>G11</f>
        <v>18709.649515000001</v>
      </c>
      <c r="J11" s="482">
        <v>1</v>
      </c>
      <c r="K11" s="977">
        <f>I11*J11</f>
        <v>18709.649515000001</v>
      </c>
      <c r="L11" s="1066" t="s">
        <v>136</v>
      </c>
      <c r="M11" s="938"/>
    </row>
    <row r="12" spans="1:18" ht="39.75" customHeight="1" thickBot="1" x14ac:dyDescent="0.3">
      <c r="A12" s="1052"/>
      <c r="B12" s="3" t="s">
        <v>7</v>
      </c>
      <c r="C12" s="1051"/>
      <c r="D12" s="1054"/>
      <c r="E12" s="16"/>
      <c r="F12" s="35"/>
      <c r="G12" s="34"/>
      <c r="H12" s="12"/>
      <c r="I12" s="12"/>
      <c r="J12" s="13"/>
      <c r="K12" s="34"/>
      <c r="L12" s="1067"/>
      <c r="M12" s="938"/>
    </row>
    <row r="13" spans="1:18" s="176" customFormat="1" ht="17.25" customHeight="1" x14ac:dyDescent="0.25">
      <c r="A13" s="624" t="s">
        <v>209</v>
      </c>
      <c r="B13" s="625"/>
      <c r="C13" s="625"/>
      <c r="D13" s="625"/>
      <c r="E13" s="625"/>
      <c r="F13" s="625"/>
      <c r="G13" s="625"/>
      <c r="H13" s="625"/>
      <c r="I13" s="625"/>
      <c r="J13" s="625"/>
      <c r="K13" s="626"/>
      <c r="L13" s="625"/>
      <c r="M13" s="626"/>
    </row>
    <row r="14" spans="1:18" s="176" customFormat="1" ht="30" customHeight="1" thickBot="1" x14ac:dyDescent="0.3">
      <c r="A14" s="627" t="s">
        <v>0</v>
      </c>
      <c r="B14" s="628" t="s">
        <v>1</v>
      </c>
      <c r="C14" s="628" t="s">
        <v>14</v>
      </c>
      <c r="D14" s="628" t="s">
        <v>32</v>
      </c>
      <c r="E14" s="628" t="s">
        <v>18</v>
      </c>
      <c r="F14" s="628" t="s">
        <v>30</v>
      </c>
      <c r="G14" s="628" t="s">
        <v>2</v>
      </c>
      <c r="H14" s="628" t="s">
        <v>3</v>
      </c>
      <c r="I14" s="628" t="s">
        <v>4</v>
      </c>
      <c r="J14" s="628" t="s">
        <v>29</v>
      </c>
      <c r="K14" s="629" t="s">
        <v>56</v>
      </c>
      <c r="L14" s="628" t="s">
        <v>18</v>
      </c>
      <c r="M14" s="629" t="s">
        <v>495</v>
      </c>
    </row>
    <row r="15" spans="1:18" s="176" customFormat="1" ht="39" customHeight="1" x14ac:dyDescent="0.25">
      <c r="A15" s="1049" t="s">
        <v>210</v>
      </c>
      <c r="B15" s="940" t="s">
        <v>505</v>
      </c>
      <c r="C15" s="978" t="s">
        <v>391</v>
      </c>
      <c r="D15" s="757" t="s">
        <v>515</v>
      </c>
      <c r="E15" s="69"/>
      <c r="F15" s="758">
        <v>0.20008000000000001</v>
      </c>
      <c r="G15" s="234">
        <f>F15*(153816*1.025)</f>
        <v>31544.892911999999</v>
      </c>
      <c r="H15" s="234">
        <v>9000</v>
      </c>
      <c r="I15" s="234">
        <f>G15+H15</f>
        <v>40544.892911999996</v>
      </c>
      <c r="J15" s="61">
        <v>50</v>
      </c>
      <c r="K15" s="63">
        <f>$J$15*$I$15/100</f>
        <v>20272.446455999998</v>
      </c>
      <c r="L15" s="960" t="s">
        <v>136</v>
      </c>
      <c r="M15" s="1091" t="s">
        <v>660</v>
      </c>
    </row>
    <row r="16" spans="1:18" s="176" customFormat="1" ht="51.75" customHeight="1" thickBot="1" x14ac:dyDescent="0.3">
      <c r="A16" s="1050"/>
      <c r="B16" s="979" t="s">
        <v>36</v>
      </c>
      <c r="C16" s="979" t="s">
        <v>38</v>
      </c>
      <c r="D16" s="980" t="s">
        <v>514</v>
      </c>
      <c r="E16" s="70"/>
      <c r="F16" s="233"/>
      <c r="G16" s="34"/>
      <c r="H16" s="34"/>
      <c r="I16" s="34"/>
      <c r="J16" s="466"/>
      <c r="K16" s="187"/>
      <c r="L16" s="960" t="s">
        <v>136</v>
      </c>
      <c r="M16" s="1092"/>
    </row>
    <row r="17" spans="1:13" ht="15.75" customHeight="1" thickBot="1" x14ac:dyDescent="0.3">
      <c r="A17" s="36" t="s">
        <v>199</v>
      </c>
      <c r="B17" s="23"/>
      <c r="C17" s="24"/>
      <c r="D17" s="25"/>
      <c r="E17" s="26"/>
      <c r="F17" s="26"/>
      <c r="G17" s="27"/>
      <c r="H17" s="27"/>
      <c r="I17" s="27"/>
      <c r="J17" s="27"/>
      <c r="K17" s="28"/>
      <c r="L17" s="25"/>
      <c r="M17" s="944"/>
    </row>
    <row r="18" spans="1:13" ht="15.75" x14ac:dyDescent="0.25">
      <c r="A18" s="193" t="s">
        <v>200</v>
      </c>
      <c r="B18" s="194"/>
      <c r="C18" s="194"/>
      <c r="D18" s="194"/>
      <c r="E18" s="194"/>
      <c r="F18" s="194"/>
      <c r="G18" s="194"/>
      <c r="H18" s="194"/>
      <c r="I18" s="194"/>
      <c r="J18" s="194"/>
      <c r="K18" s="195"/>
      <c r="L18" s="194"/>
      <c r="M18" s="195"/>
    </row>
    <row r="19" spans="1:13" ht="30" customHeight="1" thickBot="1" x14ac:dyDescent="0.3">
      <c r="A19" s="279" t="s">
        <v>0</v>
      </c>
      <c r="B19" s="267" t="s">
        <v>1</v>
      </c>
      <c r="C19" s="280" t="s">
        <v>14</v>
      </c>
      <c r="D19" s="267" t="s">
        <v>17</v>
      </c>
      <c r="E19" s="268" t="s">
        <v>18</v>
      </c>
      <c r="F19" s="268" t="s">
        <v>30</v>
      </c>
      <c r="G19" s="268" t="s">
        <v>2</v>
      </c>
      <c r="H19" s="280" t="s">
        <v>3</v>
      </c>
      <c r="I19" s="267" t="s">
        <v>4</v>
      </c>
      <c r="J19" s="280" t="s">
        <v>5</v>
      </c>
      <c r="K19" s="281" t="s">
        <v>31</v>
      </c>
      <c r="L19" s="267" t="s">
        <v>18</v>
      </c>
      <c r="M19" s="281" t="s">
        <v>495</v>
      </c>
    </row>
    <row r="20" spans="1:13" ht="27.75" customHeight="1" x14ac:dyDescent="0.25">
      <c r="A20" s="1049" t="s">
        <v>202</v>
      </c>
      <c r="B20" s="1053" t="s">
        <v>8</v>
      </c>
      <c r="C20" s="242" t="s">
        <v>9</v>
      </c>
      <c r="D20" s="242" t="s">
        <v>34</v>
      </c>
      <c r="E20" s="60"/>
      <c r="F20" s="803">
        <v>6.9000000000000006E-2</v>
      </c>
      <c r="G20" s="234">
        <f>F20*(128495*1.025)</f>
        <v>9087.8088750000006</v>
      </c>
      <c r="H20" s="61">
        <v>667</v>
      </c>
      <c r="I20" s="245">
        <f>G20+H20</f>
        <v>9754.8088750000006</v>
      </c>
      <c r="J20" s="244">
        <v>100</v>
      </c>
      <c r="K20" s="251">
        <f>$I$20</f>
        <v>9754.8088750000006</v>
      </c>
      <c r="L20" s="960" t="s">
        <v>136</v>
      </c>
      <c r="M20" s="1012" t="s">
        <v>539</v>
      </c>
    </row>
    <row r="21" spans="1:13" ht="27" customHeight="1" thickBot="1" x14ac:dyDescent="0.3">
      <c r="A21" s="1050"/>
      <c r="B21" s="1051"/>
      <c r="C21" s="179" t="s">
        <v>28</v>
      </c>
      <c r="D21" s="179" t="s">
        <v>35</v>
      </c>
      <c r="E21" s="7"/>
      <c r="F21" s="7"/>
      <c r="G21" s="185"/>
      <c r="H21" s="185"/>
      <c r="I21" s="186"/>
      <c r="J21" s="185"/>
      <c r="K21" s="192"/>
      <c r="L21" s="960" t="s">
        <v>136</v>
      </c>
      <c r="M21" s="942" t="s">
        <v>524</v>
      </c>
    </row>
    <row r="22" spans="1:13" ht="15.75" customHeight="1" x14ac:dyDescent="0.25">
      <c r="A22" s="780" t="s">
        <v>201</v>
      </c>
      <c r="B22" s="206"/>
      <c r="C22" s="206"/>
      <c r="D22" s="206"/>
      <c r="E22" s="206"/>
      <c r="F22" s="206"/>
      <c r="G22" s="206"/>
      <c r="H22" s="206"/>
      <c r="I22" s="206"/>
      <c r="J22" s="206"/>
      <c r="K22" s="210"/>
      <c r="L22" s="206"/>
      <c r="M22" s="210"/>
    </row>
    <row r="23" spans="1:13" ht="30" customHeight="1" thickBot="1" x14ac:dyDescent="0.3">
      <c r="A23" s="271" t="s">
        <v>0</v>
      </c>
      <c r="B23" s="266" t="s">
        <v>1</v>
      </c>
      <c r="C23" s="272" t="s">
        <v>14</v>
      </c>
      <c r="D23" s="266" t="s">
        <v>17</v>
      </c>
      <c r="E23" s="266" t="s">
        <v>18</v>
      </c>
      <c r="F23" s="266" t="s">
        <v>30</v>
      </c>
      <c r="G23" s="266" t="s">
        <v>2</v>
      </c>
      <c r="H23" s="272" t="s">
        <v>3</v>
      </c>
      <c r="I23" s="266" t="s">
        <v>4</v>
      </c>
      <c r="J23" s="272" t="s">
        <v>5</v>
      </c>
      <c r="K23" s="273" t="s">
        <v>31</v>
      </c>
      <c r="L23" s="266" t="s">
        <v>18</v>
      </c>
      <c r="M23" s="273" t="s">
        <v>495</v>
      </c>
    </row>
    <row r="24" spans="1:13" ht="27" customHeight="1" x14ac:dyDescent="0.25">
      <c r="A24" s="10" t="s">
        <v>203</v>
      </c>
      <c r="B24" s="1053" t="s">
        <v>10</v>
      </c>
      <c r="C24" s="462" t="s">
        <v>19</v>
      </c>
      <c r="D24" s="103" t="s">
        <v>245</v>
      </c>
      <c r="E24" s="30"/>
      <c r="F24" s="483">
        <v>0</v>
      </c>
      <c r="G24" s="62">
        <v>0</v>
      </c>
      <c r="H24" s="56">
        <f>18*21.42</f>
        <v>385.56000000000006</v>
      </c>
      <c r="I24" s="57">
        <f>H24</f>
        <v>385.56000000000006</v>
      </c>
      <c r="J24" s="244">
        <v>100</v>
      </c>
      <c r="K24" s="58">
        <f>$I$24</f>
        <v>385.56000000000006</v>
      </c>
      <c r="L24" s="960" t="s">
        <v>136</v>
      </c>
      <c r="M24" s="1039" t="s">
        <v>548</v>
      </c>
    </row>
    <row r="25" spans="1:13" ht="27" customHeight="1" thickBot="1" x14ac:dyDescent="0.3">
      <c r="A25" s="20"/>
      <c r="B25" s="1054"/>
      <c r="C25" s="463" t="s">
        <v>11</v>
      </c>
      <c r="D25" s="196" t="s">
        <v>246</v>
      </c>
      <c r="E25" s="11"/>
      <c r="F25" s="11"/>
      <c r="G25" s="17"/>
      <c r="H25" s="18"/>
      <c r="I25" s="52"/>
      <c r="J25" s="18"/>
      <c r="K25" s="437"/>
      <c r="L25" s="961" t="s">
        <v>136</v>
      </c>
      <c r="M25" s="1040"/>
    </row>
    <row r="26" spans="1:13" ht="4.5" customHeight="1" thickBot="1" x14ac:dyDescent="0.3">
      <c r="G26" s="837" t="s">
        <v>432</v>
      </c>
    </row>
    <row r="27" spans="1:13" ht="15.75" thickBot="1" x14ac:dyDescent="0.3">
      <c r="A27" s="2"/>
      <c r="B27" s="1045" t="s">
        <v>12</v>
      </c>
      <c r="C27" s="32" t="s">
        <v>13</v>
      </c>
      <c r="D27" s="253">
        <v>20272.446455999998</v>
      </c>
      <c r="E27" s="5"/>
      <c r="F27" s="5"/>
      <c r="G27" s="895">
        <v>19881.5</v>
      </c>
      <c r="I27" s="816" t="s">
        <v>437</v>
      </c>
    </row>
    <row r="28" spans="1:13" ht="15.75" thickBot="1" x14ac:dyDescent="0.3">
      <c r="A28" s="2"/>
      <c r="B28" s="1046"/>
      <c r="C28" s="21" t="s">
        <v>20</v>
      </c>
      <c r="D28" s="254">
        <v>18709.649515000001</v>
      </c>
      <c r="E28" s="5"/>
      <c r="F28" s="5"/>
      <c r="G28" s="899">
        <v>12164</v>
      </c>
      <c r="H28" s="816"/>
      <c r="I28" s="816"/>
      <c r="J28" s="816"/>
      <c r="K28" s="816"/>
    </row>
    <row r="29" spans="1:13" ht="15.75" thickBot="1" x14ac:dyDescent="0.3">
      <c r="A29" s="2"/>
      <c r="B29" s="1046"/>
      <c r="C29" s="21" t="s">
        <v>24</v>
      </c>
      <c r="D29" s="253">
        <v>1720.3747499999997</v>
      </c>
      <c r="E29" s="5"/>
      <c r="F29" s="5"/>
      <c r="G29" s="895">
        <v>1682</v>
      </c>
    </row>
    <row r="30" spans="1:13" ht="15.75" thickBot="1" x14ac:dyDescent="0.3">
      <c r="A30" s="2"/>
      <c r="B30" s="1046"/>
      <c r="C30" s="1146" t="s">
        <v>21</v>
      </c>
      <c r="D30" s="1159">
        <v>10140.368875</v>
      </c>
      <c r="E30" s="6"/>
      <c r="F30" s="6"/>
      <c r="G30" s="896">
        <v>9926.84</v>
      </c>
    </row>
    <row r="31" spans="1:13" hidden="1" x14ac:dyDescent="0.25">
      <c r="A31" s="2"/>
      <c r="B31" s="1047"/>
      <c r="C31" s="45" t="s">
        <v>25</v>
      </c>
      <c r="D31" s="256">
        <v>9754.8088750000006</v>
      </c>
      <c r="E31" s="6"/>
      <c r="F31" s="6"/>
      <c r="G31" s="900">
        <v>9533</v>
      </c>
    </row>
    <row r="32" spans="1:13" ht="15.75" hidden="1" thickBot="1" x14ac:dyDescent="0.3">
      <c r="A32" s="2"/>
      <c r="B32" s="1047"/>
      <c r="C32" s="46" t="s">
        <v>26</v>
      </c>
      <c r="D32" s="257">
        <v>385.56000000000006</v>
      </c>
      <c r="E32" s="6"/>
      <c r="F32" s="6"/>
      <c r="G32" s="901">
        <v>393.84</v>
      </c>
    </row>
    <row r="33" spans="1:7" ht="15.75" thickBot="1" x14ac:dyDescent="0.3">
      <c r="A33" s="2"/>
      <c r="B33" s="1048"/>
      <c r="C33" s="43" t="s">
        <v>23</v>
      </c>
      <c r="D33" s="258">
        <v>50842.839596000005</v>
      </c>
      <c r="E33" s="6"/>
      <c r="F33" s="6"/>
      <c r="G33" s="895">
        <v>43654.34</v>
      </c>
    </row>
    <row r="34" spans="1:7" x14ac:dyDescent="0.25">
      <c r="B34" s="33"/>
      <c r="D34" s="54"/>
      <c r="E34" s="55">
        <v>24.19</v>
      </c>
      <c r="F34" s="55"/>
    </row>
    <row r="35" spans="1:7" x14ac:dyDescent="0.25">
      <c r="A35" s="176"/>
      <c r="B35" s="33"/>
      <c r="E35" s="47">
        <v>18</v>
      </c>
      <c r="F35" s="47"/>
    </row>
    <row r="36" spans="1:7" x14ac:dyDescent="0.25">
      <c r="A36" s="176"/>
    </row>
  </sheetData>
  <mergeCells count="12">
    <mergeCell ref="M24:M25"/>
    <mergeCell ref="L11:L12"/>
    <mergeCell ref="D11:D12"/>
    <mergeCell ref="A5:A6"/>
    <mergeCell ref="B24:B25"/>
    <mergeCell ref="M15:M16"/>
    <mergeCell ref="B27:B33"/>
    <mergeCell ref="C11:C12"/>
    <mergeCell ref="A15:A16"/>
    <mergeCell ref="A11:A12"/>
    <mergeCell ref="A20:A21"/>
    <mergeCell ref="B20:B21"/>
  </mergeCells>
  <conditionalFormatting sqref="L5:L8">
    <cfRule type="cellIs" dxfId="295" priority="17" operator="equal">
      <formula>$P$7</formula>
    </cfRule>
    <cfRule type="cellIs" dxfId="294" priority="18" operator="equal">
      <formula>$P$6</formula>
    </cfRule>
    <cfRule type="cellIs" dxfId="293" priority="19" operator="equal">
      <formula>$P$5</formula>
    </cfRule>
    <cfRule type="cellIs" dxfId="292" priority="20" operator="notEqual">
      <formula>$P$4</formula>
    </cfRule>
  </conditionalFormatting>
  <conditionalFormatting sqref="L11">
    <cfRule type="cellIs" dxfId="291" priority="13" operator="equal">
      <formula>$P$7</formula>
    </cfRule>
    <cfRule type="cellIs" dxfId="290" priority="14" operator="equal">
      <formula>$P$6</formula>
    </cfRule>
    <cfRule type="cellIs" dxfId="289" priority="15" operator="equal">
      <formula>$P$5</formula>
    </cfRule>
    <cfRule type="cellIs" dxfId="288" priority="16" operator="notEqual">
      <formula>$P$4</formula>
    </cfRule>
  </conditionalFormatting>
  <conditionalFormatting sqref="L15:L16">
    <cfRule type="cellIs" dxfId="287" priority="9" operator="equal">
      <formula>$P$7</formula>
    </cfRule>
    <cfRule type="cellIs" dxfId="286" priority="10" operator="equal">
      <formula>$P$6</formula>
    </cfRule>
    <cfRule type="cellIs" dxfId="285" priority="11" operator="equal">
      <formula>$P$5</formula>
    </cfRule>
    <cfRule type="cellIs" dxfId="284" priority="12" operator="notEqual">
      <formula>$P$4</formula>
    </cfRule>
  </conditionalFormatting>
  <conditionalFormatting sqref="L20:L21">
    <cfRule type="cellIs" dxfId="283" priority="5" operator="equal">
      <formula>$P$7</formula>
    </cfRule>
    <cfRule type="cellIs" dxfId="282" priority="6" operator="equal">
      <formula>$P$6</formula>
    </cfRule>
    <cfRule type="cellIs" dxfId="281" priority="7" operator="equal">
      <formula>$P$5</formula>
    </cfRule>
    <cfRule type="cellIs" dxfId="280" priority="8" operator="notEqual">
      <formula>$P$4</formula>
    </cfRule>
  </conditionalFormatting>
  <conditionalFormatting sqref="L24:L25">
    <cfRule type="cellIs" dxfId="279" priority="1" operator="equal">
      <formula>$P$7</formula>
    </cfRule>
    <cfRule type="cellIs" dxfId="278" priority="2" operator="equal">
      <formula>$P$6</formula>
    </cfRule>
    <cfRule type="cellIs" dxfId="277" priority="3" operator="equal">
      <formula>$P$5</formula>
    </cfRule>
    <cfRule type="cellIs" dxfId="276" priority="4" operator="notEqual">
      <formula>$P$4</formula>
    </cfRule>
  </conditionalFormatting>
  <dataValidations count="1">
    <dataValidation type="list" allowBlank="1" showInputMessage="1" showErrorMessage="1" sqref="L5:L8 L24:L25 L15:L16 L20:L21 L11" xr:uid="{5CBD3566-008A-4F31-821E-93553360AA9D}">
      <formula1>$P$4:$P$7</formula1>
    </dataValidation>
  </dataValidations>
  <pageMargins left="0.7" right="0.7" top="0.75" bottom="0.75" header="0.3" footer="0.3"/>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S36"/>
  <sheetViews>
    <sheetView showWhiteSpace="0" topLeftCell="C2" zoomScaleNormal="100" workbookViewId="0">
      <selection activeCell="T13" sqref="T13"/>
    </sheetView>
  </sheetViews>
  <sheetFormatPr defaultRowHeight="15" x14ac:dyDescent="0.25"/>
  <cols>
    <col min="1" max="1" width="18.85546875" style="176" customWidth="1"/>
    <col min="2" max="2" width="46.85546875" style="176" customWidth="1"/>
    <col min="3" max="3" width="44.42578125" style="176" customWidth="1"/>
    <col min="4" max="4" width="33.7109375" style="176" customWidth="1"/>
    <col min="5" max="5" width="10.140625" style="176" hidden="1" customWidth="1"/>
    <col min="6" max="6" width="20.5703125" style="176" hidden="1" customWidth="1"/>
    <col min="7" max="7" width="8.140625" style="176" hidden="1" customWidth="1"/>
    <col min="8" max="8" width="26.42578125" style="176" hidden="1" customWidth="1"/>
    <col min="9" max="9" width="7.7109375" style="176" hidden="1" customWidth="1"/>
    <col min="10" max="10" width="7.5703125" style="176" hidden="1" customWidth="1"/>
    <col min="11" max="11" width="10" style="176" hidden="1" customWidth="1"/>
    <col min="12" max="12" width="7.28515625" style="176" hidden="1" customWidth="1"/>
    <col min="13" max="13" width="6.85546875" style="176" hidden="1" customWidth="1"/>
    <col min="14" max="14" width="8.7109375" style="176" hidden="1" customWidth="1"/>
    <col min="15" max="15" width="9.140625" style="176"/>
    <col min="16" max="16" width="31.140625" style="176" customWidth="1"/>
    <col min="17" max="18" width="0" style="176" hidden="1" customWidth="1"/>
    <col min="19" max="16384" width="9.140625" style="176"/>
  </cols>
  <sheetData>
    <row r="1" spans="1:19" ht="22.5" customHeight="1" x14ac:dyDescent="0.25">
      <c r="A1" s="735" t="s">
        <v>559</v>
      </c>
      <c r="K1" s="1103" t="s">
        <v>331</v>
      </c>
      <c r="L1" s="1104"/>
      <c r="M1" s="1104"/>
      <c r="N1" s="1104"/>
      <c r="P1" s="1014">
        <v>43586</v>
      </c>
    </row>
    <row r="2" spans="1:19" ht="15.75" thickBot="1" x14ac:dyDescent="0.3"/>
    <row r="3" spans="1:19" ht="16.5" hidden="1" thickBot="1" x14ac:dyDescent="0.3">
      <c r="A3" s="232" t="s">
        <v>13</v>
      </c>
      <c r="B3" s="231"/>
      <c r="C3" s="231"/>
      <c r="D3" s="231"/>
      <c r="E3" s="231"/>
      <c r="F3" s="231"/>
      <c r="G3" s="231"/>
      <c r="H3" s="261"/>
      <c r="I3" s="231"/>
      <c r="J3" s="231"/>
      <c r="K3" s="231"/>
      <c r="L3" s="231"/>
      <c r="M3" s="231"/>
      <c r="N3" s="230"/>
      <c r="Q3" s="945"/>
      <c r="R3" s="176" t="s">
        <v>136</v>
      </c>
    </row>
    <row r="4" spans="1:19" ht="26.25" hidden="1" thickBot="1" x14ac:dyDescent="0.3">
      <c r="A4" s="229" t="s">
        <v>0</v>
      </c>
      <c r="B4" s="228" t="s">
        <v>1</v>
      </c>
      <c r="C4" s="228" t="s">
        <v>14</v>
      </c>
      <c r="D4" s="228" t="s">
        <v>32</v>
      </c>
      <c r="E4" s="228" t="s">
        <v>139</v>
      </c>
      <c r="F4" s="228" t="s">
        <v>140</v>
      </c>
      <c r="G4" s="138" t="s">
        <v>18</v>
      </c>
      <c r="H4" s="228" t="s">
        <v>141</v>
      </c>
      <c r="I4" s="259" t="s">
        <v>30</v>
      </c>
      <c r="J4" s="228" t="s">
        <v>2</v>
      </c>
      <c r="K4" s="228" t="s">
        <v>3</v>
      </c>
      <c r="L4" s="228" t="s">
        <v>4</v>
      </c>
      <c r="M4" s="228" t="s">
        <v>55</v>
      </c>
      <c r="N4" s="227" t="s">
        <v>15</v>
      </c>
      <c r="Q4" s="946"/>
      <c r="R4" s="176" t="s">
        <v>496</v>
      </c>
      <c r="S4" s="184"/>
    </row>
    <row r="5" spans="1:19" ht="51.75" hidden="1" thickBot="1" x14ac:dyDescent="0.3">
      <c r="A5" s="284" t="s">
        <v>57</v>
      </c>
      <c r="B5" s="242" t="s">
        <v>151</v>
      </c>
      <c r="C5" s="172"/>
      <c r="D5" s="172"/>
      <c r="E5" s="213" t="s">
        <v>138</v>
      </c>
      <c r="F5" s="172"/>
      <c r="G5" s="204" t="s">
        <v>136</v>
      </c>
      <c r="H5" s="285"/>
      <c r="I5" s="286"/>
      <c r="J5" s="234"/>
      <c r="K5" s="234"/>
      <c r="L5" s="234"/>
      <c r="M5" s="61"/>
      <c r="N5" s="63">
        <f>$M$5*$L$5/100</f>
        <v>0</v>
      </c>
      <c r="Q5" s="947"/>
      <c r="R5" s="176" t="s">
        <v>497</v>
      </c>
      <c r="S5" s="9"/>
    </row>
    <row r="6" spans="1:19" ht="15.75" x14ac:dyDescent="0.25">
      <c r="A6" s="293" t="s">
        <v>197</v>
      </c>
      <c r="B6" s="294"/>
      <c r="C6" s="294"/>
      <c r="D6" s="294"/>
      <c r="E6" s="294"/>
      <c r="F6" s="294"/>
      <c r="G6" s="294"/>
      <c r="H6" s="295"/>
      <c r="I6" s="294"/>
      <c r="J6" s="294"/>
      <c r="K6" s="294"/>
      <c r="L6" s="294"/>
      <c r="M6" s="294"/>
      <c r="N6" s="296"/>
      <c r="O6" s="294"/>
      <c r="P6" s="296"/>
      <c r="Q6" s="948"/>
      <c r="R6" s="176" t="s">
        <v>498</v>
      </c>
    </row>
    <row r="7" spans="1:19" ht="30.75" customHeight="1" thickBot="1" x14ac:dyDescent="0.3">
      <c r="A7" s="297" t="s">
        <v>0</v>
      </c>
      <c r="B7" s="298" t="s">
        <v>1</v>
      </c>
      <c r="C7" s="299" t="s">
        <v>14</v>
      </c>
      <c r="D7" s="298" t="s">
        <v>32</v>
      </c>
      <c r="E7" s="298" t="s">
        <v>139</v>
      </c>
      <c r="F7" s="298" t="s">
        <v>140</v>
      </c>
      <c r="G7" s="298" t="s">
        <v>18</v>
      </c>
      <c r="H7" s="298" t="s">
        <v>141</v>
      </c>
      <c r="I7" s="300" t="s">
        <v>30</v>
      </c>
      <c r="J7" s="298" t="s">
        <v>2</v>
      </c>
      <c r="K7" s="299" t="s">
        <v>3</v>
      </c>
      <c r="L7" s="298" t="s">
        <v>4</v>
      </c>
      <c r="M7" s="299" t="s">
        <v>5</v>
      </c>
      <c r="N7" s="301" t="s">
        <v>31</v>
      </c>
      <c r="O7" s="298" t="s">
        <v>18</v>
      </c>
      <c r="P7" s="301" t="s">
        <v>495</v>
      </c>
    </row>
    <row r="8" spans="1:19" ht="33" customHeight="1" x14ac:dyDescent="0.25">
      <c r="A8" s="1049" t="s">
        <v>205</v>
      </c>
      <c r="B8" s="144" t="s">
        <v>412</v>
      </c>
      <c r="C8" s="147" t="s">
        <v>42</v>
      </c>
      <c r="D8" s="494" t="s">
        <v>46</v>
      </c>
      <c r="E8" s="213" t="s">
        <v>138</v>
      </c>
      <c r="F8" s="180" t="s">
        <v>154</v>
      </c>
      <c r="G8" s="283" t="s">
        <v>135</v>
      </c>
      <c r="H8" s="7"/>
      <c r="I8" s="802">
        <v>4.9700000000000001E-2</v>
      </c>
      <c r="J8" s="314">
        <f>I8*157787.475</f>
        <v>7842.0375075000002</v>
      </c>
      <c r="K8" s="729">
        <v>142</v>
      </c>
      <c r="L8" s="587">
        <f>J8+K8</f>
        <v>7984.0375075000002</v>
      </c>
      <c r="M8" s="730">
        <v>100</v>
      </c>
      <c r="N8" s="728">
        <f>$L$8*$M$8/100</f>
        <v>7984.0375075000002</v>
      </c>
      <c r="O8" s="960" t="s">
        <v>136</v>
      </c>
      <c r="P8" s="941" t="s">
        <v>628</v>
      </c>
    </row>
    <row r="9" spans="1:19" ht="55.5" customHeight="1" x14ac:dyDescent="0.25">
      <c r="A9" s="1050"/>
      <c r="B9" s="144" t="s">
        <v>364</v>
      </c>
      <c r="C9" s="144" t="s">
        <v>45</v>
      </c>
      <c r="D9" s="561" t="s">
        <v>366</v>
      </c>
      <c r="E9" s="213"/>
      <c r="F9" s="179"/>
      <c r="G9" s="283"/>
      <c r="H9" s="7"/>
      <c r="I9" s="226"/>
      <c r="J9" s="226"/>
      <c r="K9" s="226"/>
      <c r="L9" s="51"/>
      <c r="M9" s="50"/>
      <c r="N9" s="246"/>
      <c r="O9" s="960" t="s">
        <v>136</v>
      </c>
      <c r="P9" s="1017" t="s">
        <v>622</v>
      </c>
    </row>
    <row r="10" spans="1:19" ht="43.5" customHeight="1" thickBot="1" x14ac:dyDescent="0.3">
      <c r="A10" s="223"/>
      <c r="B10" s="144" t="s">
        <v>37</v>
      </c>
      <c r="C10" s="144" t="s">
        <v>44</v>
      </c>
      <c r="D10" s="180" t="s">
        <v>47</v>
      </c>
      <c r="E10" s="213"/>
      <c r="F10" s="179"/>
      <c r="G10" s="283"/>
      <c r="H10" s="7"/>
      <c r="I10" s="226"/>
      <c r="J10" s="226"/>
      <c r="K10" s="226"/>
      <c r="L10" s="51"/>
      <c r="M10" s="50"/>
      <c r="N10" s="246"/>
      <c r="O10" s="960" t="s">
        <v>136</v>
      </c>
      <c r="P10" s="1036" t="s">
        <v>629</v>
      </c>
    </row>
    <row r="11" spans="1:19" ht="15.75" customHeight="1" x14ac:dyDescent="0.25">
      <c r="A11" s="207" t="s">
        <v>198</v>
      </c>
      <c r="B11" s="208"/>
      <c r="C11" s="208"/>
      <c r="D11" s="208"/>
      <c r="E11" s="208"/>
      <c r="F11" s="208"/>
      <c r="G11" s="208"/>
      <c r="H11" s="287"/>
      <c r="I11" s="208"/>
      <c r="J11" s="208"/>
      <c r="K11" s="208"/>
      <c r="L11" s="208"/>
      <c r="M11" s="208"/>
      <c r="N11" s="211"/>
      <c r="O11" s="691"/>
      <c r="P11" s="692"/>
    </row>
    <row r="12" spans="1:19" ht="31.5" customHeight="1" thickBot="1" x14ac:dyDescent="0.3">
      <c r="A12" s="274" t="s">
        <v>0</v>
      </c>
      <c r="B12" s="275" t="s">
        <v>1</v>
      </c>
      <c r="C12" s="276" t="s">
        <v>16</v>
      </c>
      <c r="D12" s="275" t="s">
        <v>32</v>
      </c>
      <c r="E12" s="275" t="s">
        <v>139</v>
      </c>
      <c r="F12" s="275" t="s">
        <v>140</v>
      </c>
      <c r="G12" s="275" t="s">
        <v>18</v>
      </c>
      <c r="H12" s="275" t="s">
        <v>141</v>
      </c>
      <c r="I12" s="282" t="s">
        <v>30</v>
      </c>
      <c r="J12" s="275" t="s">
        <v>2</v>
      </c>
      <c r="K12" s="276" t="s">
        <v>3</v>
      </c>
      <c r="L12" s="275" t="s">
        <v>4</v>
      </c>
      <c r="M12" s="276" t="s">
        <v>5</v>
      </c>
      <c r="N12" s="277" t="s">
        <v>31</v>
      </c>
      <c r="O12" s="275" t="s">
        <v>18</v>
      </c>
      <c r="P12" s="277" t="s">
        <v>495</v>
      </c>
    </row>
    <row r="13" spans="1:19" ht="43.5" customHeight="1" x14ac:dyDescent="0.25">
      <c r="A13" s="288" t="s">
        <v>204</v>
      </c>
      <c r="B13" s="180" t="s">
        <v>6</v>
      </c>
      <c r="C13" s="120" t="s">
        <v>152</v>
      </c>
      <c r="D13" s="172" t="s">
        <v>249</v>
      </c>
      <c r="E13" s="289" t="s">
        <v>138</v>
      </c>
      <c r="F13" s="199" t="s">
        <v>143</v>
      </c>
      <c r="G13" s="283" t="s">
        <v>135</v>
      </c>
      <c r="H13" s="224" t="s">
        <v>153</v>
      </c>
      <c r="I13" s="804">
        <v>7.5300000000000006E-2</v>
      </c>
      <c r="J13" s="732">
        <f>I13*181119.55</f>
        <v>13638.302115</v>
      </c>
      <c r="K13" s="330" t="s">
        <v>22</v>
      </c>
      <c r="L13" s="733">
        <f>J13</f>
        <v>13638.302115</v>
      </c>
      <c r="M13" s="734">
        <v>100</v>
      </c>
      <c r="N13" s="976">
        <f>$L$13</f>
        <v>13638.302115</v>
      </c>
      <c r="O13" s="1066" t="s">
        <v>136</v>
      </c>
      <c r="P13" s="938"/>
    </row>
    <row r="14" spans="1:19" ht="43.5" customHeight="1" x14ac:dyDescent="0.25">
      <c r="A14" s="290"/>
      <c r="B14" s="180" t="s">
        <v>7</v>
      </c>
      <c r="C14" s="120"/>
      <c r="D14" s="198"/>
      <c r="E14" s="1105" t="s">
        <v>137</v>
      </c>
      <c r="F14" s="199" t="s">
        <v>144</v>
      </c>
      <c r="G14" s="1107" t="s">
        <v>135</v>
      </c>
      <c r="H14" s="224" t="s">
        <v>145</v>
      </c>
      <c r="I14" s="188"/>
      <c r="J14" s="34"/>
      <c r="K14" s="185"/>
      <c r="L14" s="185"/>
      <c r="M14" s="186"/>
      <c r="N14" s="34"/>
      <c r="O14" s="1113"/>
      <c r="P14" s="938"/>
    </row>
    <row r="15" spans="1:19" ht="30.75" customHeight="1" thickBot="1" x14ac:dyDescent="0.3">
      <c r="A15" s="291"/>
      <c r="B15" s="180" t="s">
        <v>146</v>
      </c>
      <c r="C15" s="186"/>
      <c r="D15" s="292"/>
      <c r="E15" s="1106"/>
      <c r="F15" s="292"/>
      <c r="G15" s="1108"/>
      <c r="H15" s="188"/>
      <c r="I15" s="203"/>
      <c r="J15" s="34"/>
      <c r="K15" s="185"/>
      <c r="L15" s="185"/>
      <c r="M15" s="186"/>
      <c r="N15" s="34"/>
      <c r="O15" s="1067"/>
      <c r="P15" s="938"/>
    </row>
    <row r="16" spans="1:19" ht="18" customHeight="1" thickBot="1" x14ac:dyDescent="0.3">
      <c r="A16" s="94" t="s">
        <v>199</v>
      </c>
      <c r="B16" s="23"/>
      <c r="C16" s="24"/>
      <c r="D16" s="25"/>
      <c r="E16" s="26"/>
      <c r="F16" s="26"/>
      <c r="G16" s="27"/>
      <c r="H16" s="27"/>
      <c r="I16" s="27"/>
      <c r="J16" s="27"/>
      <c r="K16" s="27"/>
      <c r="L16" s="27"/>
      <c r="M16" s="27"/>
      <c r="N16" s="28"/>
      <c r="O16" s="25"/>
      <c r="P16" s="944"/>
    </row>
    <row r="17" spans="1:16" ht="15.75" x14ac:dyDescent="0.25">
      <c r="A17" s="193" t="s">
        <v>200</v>
      </c>
      <c r="B17" s="194"/>
      <c r="C17" s="194"/>
      <c r="D17" s="194"/>
      <c r="E17" s="194"/>
      <c r="F17" s="194"/>
      <c r="G17" s="194"/>
      <c r="H17" s="303"/>
      <c r="I17" s="194"/>
      <c r="J17" s="194"/>
      <c r="K17" s="194"/>
      <c r="L17" s="194"/>
      <c r="M17" s="194"/>
      <c r="N17" s="195"/>
      <c r="O17" s="194"/>
      <c r="P17" s="195"/>
    </row>
    <row r="18" spans="1:16" ht="33.75" customHeight="1" thickBot="1" x14ac:dyDescent="0.3">
      <c r="A18" s="279" t="s">
        <v>0</v>
      </c>
      <c r="B18" s="267" t="s">
        <v>1</v>
      </c>
      <c r="C18" s="280" t="s">
        <v>14</v>
      </c>
      <c r="D18" s="267" t="s">
        <v>32</v>
      </c>
      <c r="E18" s="267" t="s">
        <v>139</v>
      </c>
      <c r="F18" s="267" t="s">
        <v>140</v>
      </c>
      <c r="G18" s="267" t="s">
        <v>18</v>
      </c>
      <c r="H18" s="267" t="s">
        <v>141</v>
      </c>
      <c r="I18" s="268" t="s">
        <v>30</v>
      </c>
      <c r="J18" s="268" t="s">
        <v>2</v>
      </c>
      <c r="K18" s="280" t="s">
        <v>3</v>
      </c>
      <c r="L18" s="267" t="s">
        <v>4</v>
      </c>
      <c r="M18" s="280" t="s">
        <v>5</v>
      </c>
      <c r="N18" s="281" t="s">
        <v>31</v>
      </c>
      <c r="O18" s="267" t="s">
        <v>18</v>
      </c>
      <c r="P18" s="281" t="s">
        <v>495</v>
      </c>
    </row>
    <row r="19" spans="1:16" ht="42.75" customHeight="1" x14ac:dyDescent="0.25">
      <c r="A19" s="1111" t="s">
        <v>202</v>
      </c>
      <c r="B19" s="1109" t="s">
        <v>8</v>
      </c>
      <c r="C19" s="499" t="s">
        <v>9</v>
      </c>
      <c r="D19" s="500" t="s">
        <v>34</v>
      </c>
      <c r="E19" s="212" t="s">
        <v>138</v>
      </c>
      <c r="F19" s="181" t="s">
        <v>147</v>
      </c>
      <c r="G19" s="283" t="s">
        <v>135</v>
      </c>
      <c r="H19" s="262"/>
      <c r="I19" s="805">
        <v>9.4E-2</v>
      </c>
      <c r="J19" s="523">
        <f>I19*131707.375</f>
        <v>12380.49325</v>
      </c>
      <c r="K19" s="316">
        <v>667</v>
      </c>
      <c r="L19" s="726">
        <f>J19+K19</f>
        <v>13047.49325</v>
      </c>
      <c r="M19" s="724">
        <v>100</v>
      </c>
      <c r="N19" s="731">
        <f>$L$19</f>
        <v>13047.49325</v>
      </c>
      <c r="O19" s="960" t="s">
        <v>136</v>
      </c>
      <c r="P19" s="1012" t="s">
        <v>540</v>
      </c>
    </row>
    <row r="20" spans="1:16" ht="33" customHeight="1" thickBot="1" x14ac:dyDescent="0.3">
      <c r="A20" s="1112"/>
      <c r="B20" s="1110"/>
      <c r="C20" s="500" t="s">
        <v>265</v>
      </c>
      <c r="D20" s="501" t="s">
        <v>35</v>
      </c>
      <c r="E20" s="212" t="s">
        <v>138</v>
      </c>
      <c r="F20" s="96" t="s">
        <v>148</v>
      </c>
      <c r="G20" s="265" t="s">
        <v>135</v>
      </c>
      <c r="H20" s="262"/>
      <c r="I20" s="538"/>
      <c r="J20" s="185"/>
      <c r="K20" s="185"/>
      <c r="L20" s="186"/>
      <c r="M20" s="185"/>
      <c r="N20" s="192"/>
      <c r="O20" s="960" t="s">
        <v>136</v>
      </c>
      <c r="P20" s="942" t="s">
        <v>528</v>
      </c>
    </row>
    <row r="21" spans="1:16" ht="15.75" x14ac:dyDescent="0.25">
      <c r="A21" s="205" t="s">
        <v>201</v>
      </c>
      <c r="B21" s="206"/>
      <c r="C21" s="206"/>
      <c r="D21" s="206"/>
      <c r="E21" s="206"/>
      <c r="F21" s="206"/>
      <c r="G21" s="206"/>
      <c r="H21" s="304"/>
      <c r="I21" s="206"/>
      <c r="J21" s="206"/>
      <c r="K21" s="206"/>
      <c r="L21" s="206"/>
      <c r="M21" s="206"/>
      <c r="N21" s="210"/>
      <c r="O21" s="206"/>
      <c r="P21" s="210"/>
    </row>
    <row r="22" spans="1:16" ht="29.25" customHeight="1" thickBot="1" x14ac:dyDescent="0.3">
      <c r="A22" s="271" t="s">
        <v>0</v>
      </c>
      <c r="B22" s="266" t="s">
        <v>1</v>
      </c>
      <c r="C22" s="272" t="s">
        <v>14</v>
      </c>
      <c r="D22" s="266" t="s">
        <v>32</v>
      </c>
      <c r="E22" s="266" t="s">
        <v>139</v>
      </c>
      <c r="F22" s="266" t="s">
        <v>140</v>
      </c>
      <c r="G22" s="266" t="s">
        <v>18</v>
      </c>
      <c r="H22" s="266" t="s">
        <v>141</v>
      </c>
      <c r="I22" s="278" t="s">
        <v>30</v>
      </c>
      <c r="J22" s="266" t="s">
        <v>2</v>
      </c>
      <c r="K22" s="272" t="s">
        <v>3</v>
      </c>
      <c r="L22" s="266" t="s">
        <v>4</v>
      </c>
      <c r="M22" s="272" t="s">
        <v>5</v>
      </c>
      <c r="N22" s="273" t="s">
        <v>31</v>
      </c>
      <c r="O22" s="266" t="s">
        <v>18</v>
      </c>
      <c r="P22" s="273" t="s">
        <v>495</v>
      </c>
    </row>
    <row r="23" spans="1:16" ht="30.75" customHeight="1" x14ac:dyDescent="0.25">
      <c r="A23" s="223" t="s">
        <v>203</v>
      </c>
      <c r="B23" s="1053" t="s">
        <v>10</v>
      </c>
      <c r="C23" s="462" t="s">
        <v>19</v>
      </c>
      <c r="D23" s="103" t="s">
        <v>245</v>
      </c>
      <c r="E23" s="213" t="s">
        <v>138</v>
      </c>
      <c r="F23" s="201" t="s">
        <v>149</v>
      </c>
      <c r="G23" s="283" t="s">
        <v>135</v>
      </c>
      <c r="H23" s="263"/>
      <c r="I23" s="619">
        <v>0</v>
      </c>
      <c r="J23" s="487">
        <v>0</v>
      </c>
      <c r="K23" s="488">
        <f>18*21.42</f>
        <v>385.56000000000006</v>
      </c>
      <c r="L23" s="489">
        <f>K23</f>
        <v>385.56000000000006</v>
      </c>
      <c r="M23" s="618">
        <v>100</v>
      </c>
      <c r="N23" s="966">
        <f>$L$23</f>
        <v>385.56000000000006</v>
      </c>
      <c r="O23" s="964" t="s">
        <v>136</v>
      </c>
      <c r="P23" s="1039" t="s">
        <v>548</v>
      </c>
    </row>
    <row r="24" spans="1:16" ht="29.25" customHeight="1" thickBot="1" x14ac:dyDescent="0.3">
      <c r="A24" s="220"/>
      <c r="B24" s="1054"/>
      <c r="C24" s="463" t="s">
        <v>11</v>
      </c>
      <c r="D24" s="196" t="s">
        <v>246</v>
      </c>
      <c r="E24" s="264" t="s">
        <v>138</v>
      </c>
      <c r="F24" s="202" t="s">
        <v>150</v>
      </c>
      <c r="G24" s="265" t="s">
        <v>135</v>
      </c>
      <c r="H24" s="248"/>
      <c r="I24" s="248"/>
      <c r="J24" s="189"/>
      <c r="K24" s="190"/>
      <c r="L24" s="249"/>
      <c r="M24" s="190"/>
      <c r="N24" s="437"/>
      <c r="O24" s="961" t="s">
        <v>136</v>
      </c>
      <c r="P24" s="1040"/>
    </row>
    <row r="25" spans="1:16" hidden="1" x14ac:dyDescent="0.25"/>
    <row r="26" spans="1:16" ht="17.25" customHeight="1" thickBot="1" x14ac:dyDescent="0.3">
      <c r="A26" s="178"/>
      <c r="B26" s="219"/>
      <c r="G26" s="182"/>
      <c r="H26" s="182"/>
      <c r="I26" s="182"/>
      <c r="J26" s="890" t="s">
        <v>432</v>
      </c>
    </row>
    <row r="27" spans="1:16" ht="15.75" thickBot="1" x14ac:dyDescent="0.3">
      <c r="A27" s="178"/>
      <c r="B27" s="1045" t="s">
        <v>12</v>
      </c>
      <c r="C27" s="218" t="s">
        <v>13</v>
      </c>
      <c r="D27" s="422">
        <v>0</v>
      </c>
      <c r="E27" s="305"/>
      <c r="F27" s="216"/>
      <c r="G27" s="216"/>
      <c r="H27" s="216"/>
      <c r="I27" s="216"/>
      <c r="J27" s="841">
        <v>0</v>
      </c>
      <c r="K27" s="216"/>
      <c r="L27" s="215" t="s">
        <v>308</v>
      </c>
    </row>
    <row r="28" spans="1:16" ht="15.75" thickBot="1" x14ac:dyDescent="0.3">
      <c r="A28" s="178"/>
      <c r="B28" s="1046"/>
      <c r="C28" s="217" t="s">
        <v>20</v>
      </c>
      <c r="D28" s="254">
        <v>13638.302115</v>
      </c>
      <c r="E28" s="306"/>
      <c r="F28" s="816"/>
      <c r="G28" s="816"/>
      <c r="H28" s="816"/>
      <c r="I28" s="816"/>
      <c r="J28" s="902">
        <v>13376</v>
      </c>
      <c r="K28" s="816"/>
    </row>
    <row r="29" spans="1:16" ht="15.75" thickBot="1" x14ac:dyDescent="0.3">
      <c r="A29" s="178"/>
      <c r="B29" s="1046"/>
      <c r="C29" s="217" t="s">
        <v>24</v>
      </c>
      <c r="D29" s="253">
        <v>7984.0375075000002</v>
      </c>
      <c r="E29" s="307"/>
      <c r="F29" s="816" t="s">
        <v>308</v>
      </c>
      <c r="G29" s="816"/>
      <c r="H29" s="816"/>
      <c r="I29" s="816"/>
      <c r="J29" s="903">
        <v>7839</v>
      </c>
      <c r="K29" s="816"/>
      <c r="L29" s="816"/>
      <c r="M29" s="816"/>
    </row>
    <row r="30" spans="1:16" ht="15.75" thickBot="1" x14ac:dyDescent="0.3">
      <c r="A30" s="178"/>
      <c r="B30" s="1046"/>
      <c r="C30" s="237" t="s">
        <v>21</v>
      </c>
      <c r="D30" s="255">
        <v>13433.053249999999</v>
      </c>
      <c r="E30" s="308"/>
      <c r="F30" s="216"/>
      <c r="G30" s="216"/>
      <c r="H30" s="216"/>
      <c r="I30" s="216"/>
      <c r="J30" s="892">
        <v>13140</v>
      </c>
      <c r="K30" s="216"/>
    </row>
    <row r="31" spans="1:16" x14ac:dyDescent="0.25">
      <c r="A31" s="178"/>
      <c r="B31" s="1047"/>
      <c r="C31" s="238" t="s">
        <v>25</v>
      </c>
      <c r="D31" s="256">
        <v>13047.49325</v>
      </c>
      <c r="E31" s="309"/>
      <c r="F31" s="309"/>
      <c r="G31" s="183"/>
      <c r="H31" s="183"/>
      <c r="I31" s="183"/>
      <c r="J31" s="891">
        <v>12746</v>
      </c>
    </row>
    <row r="32" spans="1:16" ht="15.75" thickBot="1" x14ac:dyDescent="0.3">
      <c r="A32" s="178"/>
      <c r="B32" s="1047"/>
      <c r="C32" s="239" t="s">
        <v>26</v>
      </c>
      <c r="D32" s="257">
        <v>385.56000000000006</v>
      </c>
      <c r="E32" s="309"/>
      <c r="F32" s="309"/>
      <c r="G32" s="183"/>
      <c r="H32" s="183"/>
      <c r="I32" s="183"/>
      <c r="J32" s="891">
        <v>394</v>
      </c>
    </row>
    <row r="33" spans="1:10" ht="15.75" thickBot="1" x14ac:dyDescent="0.3">
      <c r="A33" s="178"/>
      <c r="B33" s="1048"/>
      <c r="C33" s="736" t="s">
        <v>23</v>
      </c>
      <c r="D33" s="737">
        <v>35055.392872500001</v>
      </c>
      <c r="E33" s="310"/>
      <c r="F33" s="310"/>
      <c r="G33" s="183"/>
      <c r="H33" s="183"/>
      <c r="I33" s="183"/>
      <c r="J33" s="874">
        <v>34355</v>
      </c>
    </row>
    <row r="34" spans="1:10" x14ac:dyDescent="0.25">
      <c r="B34" s="216"/>
      <c r="D34" s="241"/>
      <c r="E34" s="241"/>
      <c r="F34" s="241"/>
      <c r="G34" s="107"/>
      <c r="H34" s="214"/>
      <c r="I34" s="214"/>
    </row>
    <row r="35" spans="1:10" x14ac:dyDescent="0.25">
      <c r="B35" s="216"/>
      <c r="D35" s="311"/>
      <c r="E35" s="311"/>
      <c r="F35" s="311"/>
      <c r="G35" s="312"/>
      <c r="H35" s="215"/>
      <c r="I35" s="215"/>
    </row>
    <row r="36" spans="1:10" x14ac:dyDescent="0.25">
      <c r="D36" s="209"/>
      <c r="E36" s="209"/>
      <c r="F36" s="209"/>
      <c r="G36" s="209"/>
    </row>
  </sheetData>
  <mergeCells count="10">
    <mergeCell ref="P23:P24"/>
    <mergeCell ref="O13:O15"/>
    <mergeCell ref="B27:B33"/>
    <mergeCell ref="B23:B24"/>
    <mergeCell ref="A8:A9"/>
    <mergeCell ref="K1:N1"/>
    <mergeCell ref="E14:E15"/>
    <mergeCell ref="G14:G15"/>
    <mergeCell ref="B19:B20"/>
    <mergeCell ref="A19:A20"/>
  </mergeCells>
  <conditionalFormatting sqref="S4">
    <cfRule type="colorScale" priority="32">
      <colorScale>
        <cfvo type="min"/>
        <cfvo type="max"/>
        <color rgb="FFFF0000"/>
        <color rgb="FFFFEF9C"/>
      </colorScale>
    </cfRule>
    <cfRule type="colorScale" priority="33">
      <colorScale>
        <cfvo type="min"/>
        <cfvo type="percentile" val="50"/>
        <cfvo type="max"/>
        <color rgb="FFF8696B"/>
        <color rgb="FFFFEB84"/>
        <color rgb="FF63BE7B"/>
      </colorScale>
    </cfRule>
  </conditionalFormatting>
  <conditionalFormatting sqref="G5 G8:G10">
    <cfRule type="containsText" dxfId="275" priority="31" operator="containsText" text="On track">
      <formula>NOT(ISERROR(SEARCH("On track",G5)))</formula>
    </cfRule>
  </conditionalFormatting>
  <conditionalFormatting sqref="G19:G20">
    <cfRule type="containsText" dxfId="274" priority="25" operator="containsText" text="On track">
      <formula>NOT(ISERROR(SEARCH("On track",G19)))</formula>
    </cfRule>
  </conditionalFormatting>
  <conditionalFormatting sqref="G23:G24">
    <cfRule type="containsText" dxfId="273" priority="22" operator="containsText" text="On track">
      <formula>NOT(ISERROR(SEARCH("On track",G23)))</formula>
    </cfRule>
  </conditionalFormatting>
  <conditionalFormatting sqref="G13:G14">
    <cfRule type="containsText" dxfId="272" priority="19" operator="containsText" text="On track">
      <formula>NOT(ISERROR(SEARCH("On track",G13)))</formula>
    </cfRule>
  </conditionalFormatting>
  <conditionalFormatting sqref="O8:O10">
    <cfRule type="cellIs" dxfId="271" priority="13" operator="equal">
      <formula>$P$7</formula>
    </cfRule>
    <cfRule type="cellIs" dxfId="270" priority="14" operator="equal">
      <formula>$P$6</formula>
    </cfRule>
    <cfRule type="cellIs" dxfId="269" priority="15" operator="equal">
      <formula>$P$5</formula>
    </cfRule>
    <cfRule type="cellIs" dxfId="268" priority="16" operator="notEqual">
      <formula>$P$4</formula>
    </cfRule>
  </conditionalFormatting>
  <conditionalFormatting sqref="O13">
    <cfRule type="cellIs" dxfId="267" priority="9" operator="equal">
      <formula>$P$7</formula>
    </cfRule>
    <cfRule type="cellIs" dxfId="266" priority="10" operator="equal">
      <formula>$P$6</formula>
    </cfRule>
    <cfRule type="cellIs" dxfId="265" priority="11" operator="equal">
      <formula>$P$5</formula>
    </cfRule>
    <cfRule type="cellIs" dxfId="264" priority="12" operator="notEqual">
      <formula>$P$4</formula>
    </cfRule>
  </conditionalFormatting>
  <conditionalFormatting sqref="O19:O20">
    <cfRule type="cellIs" dxfId="263" priority="5" operator="equal">
      <formula>$P$7</formula>
    </cfRule>
    <cfRule type="cellIs" dxfId="262" priority="6" operator="equal">
      <formula>$P$6</formula>
    </cfRule>
    <cfRule type="cellIs" dxfId="261" priority="7" operator="equal">
      <formula>$P$5</formula>
    </cfRule>
    <cfRule type="cellIs" dxfId="260" priority="8" operator="notEqual">
      <formula>$P$4</formula>
    </cfRule>
  </conditionalFormatting>
  <conditionalFormatting sqref="O23:O24">
    <cfRule type="cellIs" dxfId="259" priority="1" operator="equal">
      <formula>$P$7</formula>
    </cfRule>
    <cfRule type="cellIs" dxfId="258" priority="2" operator="equal">
      <formula>$P$6</formula>
    </cfRule>
    <cfRule type="cellIs" dxfId="257" priority="3" operator="equal">
      <formula>$P$5</formula>
    </cfRule>
    <cfRule type="cellIs" dxfId="256" priority="4" operator="notEqual">
      <formula>$P$4</formula>
    </cfRule>
  </conditionalFormatting>
  <dataValidations count="3">
    <dataValidation type="list" allowBlank="1" showInputMessage="1" showErrorMessage="1" sqref="E5 E23:E24 E13:E14 E19:E20 E8:E10" xr:uid="{00000000-0002-0000-0B00-000000000000}">
      <formula1>indi</formula1>
    </dataValidation>
    <dataValidation type="list" allowBlank="1" showInputMessage="1" showErrorMessage="1" sqref="G23:G24 G8:G10 G19:G20 G13:G14 G5" xr:uid="{00000000-0002-0000-0B00-000001000000}">
      <formula1>$Q$3:$Q$5</formula1>
    </dataValidation>
    <dataValidation type="list" allowBlank="1" showInputMessage="1" showErrorMessage="1" sqref="O8:O10 O13 O19:O20 O23:O24" xr:uid="{896533C4-3F52-4C84-B4E1-ACDB7FF50C17}">
      <formula1>$P$4:$P$7</formula1>
    </dataValidation>
  </dataValidations>
  <pageMargins left="0.7" right="0.7" top="0.75" bottom="0.75" header="0.3" footer="0.3"/>
  <pageSetup paperSize="8" orientation="landscape" r:id="rId1"/>
  <extLst>
    <ext xmlns:x14="http://schemas.microsoft.com/office/spreadsheetml/2009/9/main" uri="{78C0D931-6437-407d-A8EE-F0AAD7539E65}">
      <x14:conditionalFormattings>
        <x14:conditionalFormatting xmlns:xm="http://schemas.microsoft.com/office/excel/2006/main">
          <x14:cfRule type="containsText" priority="29" operator="containsText" id="{542F1C85-2283-4D0D-A98D-8DB0AE3A543E}">
            <xm:f>NOT(ISERROR(SEARCH(#REF!,G5)))</xm:f>
            <xm:f>#REF!</xm:f>
            <x14:dxf>
              <fill>
                <patternFill>
                  <bgColor theme="5" tint="0.39994506668294322"/>
                </patternFill>
              </fill>
            </x14:dxf>
          </x14:cfRule>
          <x14:cfRule type="containsText" priority="30" operator="containsText" id="{E9F6821B-2888-40D4-9FE8-F179C2E80D41}">
            <xm:f>NOT(ISERROR(SEARCH($Q$5,G5)))</xm:f>
            <xm:f>$Q$5</xm:f>
            <x14:dxf>
              <fill>
                <patternFill>
                  <bgColor rgb="FFFFC000"/>
                </patternFill>
              </fill>
            </x14:dxf>
          </x14:cfRule>
          <xm:sqref>G8:G10 G5</xm:sqref>
        </x14:conditionalFormatting>
        <x14:conditionalFormatting xmlns:xm="http://schemas.microsoft.com/office/excel/2006/main">
          <x14:cfRule type="containsText" priority="23" operator="containsText" id="{AE2B7EB5-4F14-4D1D-8BE6-CFCA8B27F750}">
            <xm:f>NOT(ISERROR(SEARCH(#REF!,G19)))</xm:f>
            <xm:f>#REF!</xm:f>
            <x14:dxf>
              <fill>
                <patternFill>
                  <bgColor theme="5" tint="0.39994506668294322"/>
                </patternFill>
              </fill>
            </x14:dxf>
          </x14:cfRule>
          <x14:cfRule type="containsText" priority="24" operator="containsText" id="{827FE81E-C5DC-4390-AD5C-3FDEFAB850C9}">
            <xm:f>NOT(ISERROR(SEARCH($Q$5,G19)))</xm:f>
            <xm:f>$Q$5</xm:f>
            <x14:dxf>
              <fill>
                <patternFill>
                  <bgColor rgb="FFFFC000"/>
                </patternFill>
              </fill>
            </x14:dxf>
          </x14:cfRule>
          <xm:sqref>G19:G20</xm:sqref>
        </x14:conditionalFormatting>
        <x14:conditionalFormatting xmlns:xm="http://schemas.microsoft.com/office/excel/2006/main">
          <x14:cfRule type="containsText" priority="20" operator="containsText" id="{F90594EA-64D3-463B-AF54-8AD900EA57A0}">
            <xm:f>NOT(ISERROR(SEARCH(#REF!,G23)))</xm:f>
            <xm:f>#REF!</xm:f>
            <x14:dxf>
              <fill>
                <patternFill>
                  <bgColor theme="5" tint="0.39994506668294322"/>
                </patternFill>
              </fill>
            </x14:dxf>
          </x14:cfRule>
          <x14:cfRule type="containsText" priority="21" operator="containsText" id="{79967886-5784-4781-953C-866C4C3DD0AF}">
            <xm:f>NOT(ISERROR(SEARCH($Q$5,G23)))</xm:f>
            <xm:f>$Q$5</xm:f>
            <x14:dxf>
              <fill>
                <patternFill>
                  <bgColor rgb="FFFFC000"/>
                </patternFill>
              </fill>
            </x14:dxf>
          </x14:cfRule>
          <xm:sqref>G23:G24</xm:sqref>
        </x14:conditionalFormatting>
        <x14:conditionalFormatting xmlns:xm="http://schemas.microsoft.com/office/excel/2006/main">
          <x14:cfRule type="containsText" priority="17" operator="containsText" id="{4429BE4F-8257-40C6-A723-FB3A617507BE}">
            <xm:f>NOT(ISERROR(SEARCH(#REF!,G13)))</xm:f>
            <xm:f>#REF!</xm:f>
            <x14:dxf>
              <fill>
                <patternFill>
                  <bgColor theme="5" tint="0.39994506668294322"/>
                </patternFill>
              </fill>
            </x14:dxf>
          </x14:cfRule>
          <x14:cfRule type="containsText" priority="18" operator="containsText" id="{AE38FB25-E52E-4C2E-9918-F47F5B88EFC8}">
            <xm:f>NOT(ISERROR(SEARCH($Q$5,G13)))</xm:f>
            <xm:f>$Q$5</xm:f>
            <x14:dxf>
              <fill>
                <patternFill>
                  <bgColor rgb="FFFFC000"/>
                </patternFill>
              </fill>
            </x14:dxf>
          </x14:cfRule>
          <xm:sqref>G13:G14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pageSetUpPr fitToPage="1"/>
  </sheetPr>
  <dimension ref="A1:R63"/>
  <sheetViews>
    <sheetView topLeftCell="A16" zoomScaleNormal="100" workbookViewId="0">
      <selection activeCell="C27" sqref="C27"/>
    </sheetView>
  </sheetViews>
  <sheetFormatPr defaultRowHeight="15" x14ac:dyDescent="0.25"/>
  <cols>
    <col min="1" max="1" width="18.140625" style="176" customWidth="1"/>
    <col min="2" max="2" width="45.28515625" style="176" customWidth="1"/>
    <col min="3" max="3" width="52.85546875" style="176" customWidth="1"/>
    <col min="4" max="4" width="45.140625" style="176" customWidth="1"/>
    <col min="5" max="5" width="8.140625" style="176" hidden="1" customWidth="1"/>
    <col min="6" max="6" width="3.85546875" style="176" hidden="1" customWidth="1"/>
    <col min="7" max="7" width="9.140625" style="176" hidden="1" customWidth="1"/>
    <col min="8" max="8" width="9.42578125" style="176" hidden="1" customWidth="1"/>
    <col min="9" max="9" width="10.5703125" style="176" hidden="1" customWidth="1"/>
    <col min="10" max="10" width="8.5703125" style="176" hidden="1" customWidth="1"/>
    <col min="11" max="11" width="7" style="176" hidden="1" customWidth="1"/>
    <col min="12" max="12" width="8.28515625" style="176" hidden="1" customWidth="1"/>
    <col min="13" max="13" width="9" style="176" customWidth="1"/>
    <col min="14" max="14" width="50.85546875" style="176" customWidth="1"/>
    <col min="15" max="16" width="9.140625" style="176"/>
    <col min="17" max="18" width="0" style="176" hidden="1" customWidth="1"/>
    <col min="19" max="16384" width="9.140625" style="176"/>
  </cols>
  <sheetData>
    <row r="1" spans="1:18" ht="18" x14ac:dyDescent="0.25">
      <c r="A1" s="783" t="s">
        <v>560</v>
      </c>
      <c r="J1" s="4"/>
      <c r="K1" s="74"/>
      <c r="L1" s="573" t="s">
        <v>331</v>
      </c>
      <c r="N1" s="1014">
        <v>43586</v>
      </c>
    </row>
    <row r="2" spans="1:18" ht="6" customHeight="1" thickBot="1" x14ac:dyDescent="0.3"/>
    <row r="3" spans="1:18" ht="17.25" customHeight="1" x14ac:dyDescent="0.25">
      <c r="A3" s="293" t="s">
        <v>197</v>
      </c>
      <c r="B3" s="652"/>
      <c r="C3" s="652"/>
      <c r="D3" s="652"/>
      <c r="E3" s="652"/>
      <c r="F3" s="652"/>
      <c r="G3" s="653"/>
      <c r="H3" s="653"/>
      <c r="I3" s="653"/>
      <c r="J3" s="653"/>
      <c r="K3" s="653"/>
      <c r="L3" s="654"/>
      <c r="M3" s="294"/>
      <c r="N3" s="296"/>
    </row>
    <row r="4" spans="1:18" ht="32.25" customHeight="1" thickBot="1" x14ac:dyDescent="0.3">
      <c r="A4" s="297" t="s">
        <v>0</v>
      </c>
      <c r="B4" s="298" t="s">
        <v>1</v>
      </c>
      <c r="C4" s="299" t="s">
        <v>14</v>
      </c>
      <c r="D4" s="298" t="s">
        <v>17</v>
      </c>
      <c r="E4" s="298" t="s">
        <v>18</v>
      </c>
      <c r="F4" s="298"/>
      <c r="G4" s="655" t="s">
        <v>30</v>
      </c>
      <c r="H4" s="655" t="s">
        <v>2</v>
      </c>
      <c r="I4" s="655" t="s">
        <v>3</v>
      </c>
      <c r="J4" s="655" t="s">
        <v>4</v>
      </c>
      <c r="K4" s="655" t="s">
        <v>5</v>
      </c>
      <c r="L4" s="656" t="s">
        <v>15</v>
      </c>
      <c r="M4" s="298" t="s">
        <v>18</v>
      </c>
      <c r="N4" s="301" t="s">
        <v>495</v>
      </c>
      <c r="Q4" s="945"/>
      <c r="R4" s="176" t="s">
        <v>136</v>
      </c>
    </row>
    <row r="5" spans="1:18" ht="39.75" customHeight="1" x14ac:dyDescent="0.25">
      <c r="A5" s="1049" t="s">
        <v>219</v>
      </c>
      <c r="B5" s="394" t="s">
        <v>158</v>
      </c>
      <c r="C5" s="394" t="s">
        <v>159</v>
      </c>
      <c r="D5" s="720" t="s">
        <v>424</v>
      </c>
      <c r="E5" s="260"/>
      <c r="F5" s="235"/>
      <c r="G5" s="316">
        <v>0.03</v>
      </c>
      <c r="H5" s="523">
        <f>G5*153939*(14.22/13.94)</f>
        <v>4710.9309469153523</v>
      </c>
      <c r="I5" s="316">
        <v>734</v>
      </c>
      <c r="J5" s="524">
        <f>I5+H5</f>
        <v>5444.9309469153523</v>
      </c>
      <c r="K5" s="330">
        <v>100</v>
      </c>
      <c r="L5" s="582">
        <f>J5*K5/100</f>
        <v>5444.9309469153523</v>
      </c>
      <c r="M5" s="960" t="s">
        <v>136</v>
      </c>
      <c r="N5" s="941" t="s">
        <v>575</v>
      </c>
      <c r="Q5" s="946"/>
      <c r="R5" s="176" t="s">
        <v>496</v>
      </c>
    </row>
    <row r="6" spans="1:18" ht="26.25" customHeight="1" x14ac:dyDescent="0.25">
      <c r="A6" s="1050"/>
      <c r="B6" s="144" t="s">
        <v>160</v>
      </c>
      <c r="C6" s="144" t="s">
        <v>161</v>
      </c>
      <c r="D6" s="561" t="s">
        <v>425</v>
      </c>
      <c r="E6" s="260"/>
      <c r="F6" s="235"/>
      <c r="G6" s="334"/>
      <c r="H6" s="334"/>
      <c r="I6" s="383"/>
      <c r="J6" s="334"/>
      <c r="K6" s="334"/>
      <c r="L6" s="510"/>
      <c r="M6" s="960" t="s">
        <v>136</v>
      </c>
      <c r="N6" s="943" t="s">
        <v>498</v>
      </c>
      <c r="Q6" s="947"/>
      <c r="R6" s="176" t="s">
        <v>497</v>
      </c>
    </row>
    <row r="7" spans="1:18" ht="41.25" customHeight="1" x14ac:dyDescent="0.25">
      <c r="A7" s="1050"/>
      <c r="B7" s="147" t="s">
        <v>162</v>
      </c>
      <c r="C7" s="144" t="s">
        <v>182</v>
      </c>
      <c r="D7" s="144" t="s">
        <v>183</v>
      </c>
      <c r="E7" s="260"/>
      <c r="F7" s="235"/>
      <c r="G7" s="334"/>
      <c r="H7" s="334"/>
      <c r="I7" s="334"/>
      <c r="J7" s="334"/>
      <c r="K7" s="334"/>
      <c r="L7" s="510"/>
      <c r="M7" s="960" t="s">
        <v>136</v>
      </c>
      <c r="N7" s="943" t="s">
        <v>355</v>
      </c>
      <c r="Q7" s="948"/>
      <c r="R7" s="176" t="s">
        <v>498</v>
      </c>
    </row>
    <row r="8" spans="1:18" ht="39.75" customHeight="1" x14ac:dyDescent="0.25">
      <c r="A8" s="558"/>
      <c r="B8" s="403" t="s">
        <v>163</v>
      </c>
      <c r="C8" s="198" t="s">
        <v>184</v>
      </c>
      <c r="D8" s="561" t="s">
        <v>426</v>
      </c>
      <c r="E8" s="260"/>
      <c r="F8" s="235"/>
      <c r="G8" s="334"/>
      <c r="H8" s="334"/>
      <c r="I8" s="334"/>
      <c r="J8" s="334"/>
      <c r="K8" s="334"/>
      <c r="L8" s="551"/>
      <c r="M8" s="960" t="s">
        <v>136</v>
      </c>
      <c r="N8" s="943" t="s">
        <v>576</v>
      </c>
    </row>
    <row r="9" spans="1:18" ht="94.5" customHeight="1" x14ac:dyDescent="0.25">
      <c r="A9" s="223" t="s">
        <v>220</v>
      </c>
      <c r="B9" s="147" t="s">
        <v>165</v>
      </c>
      <c r="C9" s="147" t="s">
        <v>185</v>
      </c>
      <c r="D9" s="772" t="s">
        <v>399</v>
      </c>
      <c r="E9" s="395"/>
      <c r="F9" s="384"/>
      <c r="G9" s="806">
        <v>3.2500000000000001E-2</v>
      </c>
      <c r="H9" s="581">
        <f>G9*153939*(14.22/13.94)</f>
        <v>5103.5085258249646</v>
      </c>
      <c r="I9" s="340">
        <v>463</v>
      </c>
      <c r="J9" s="341">
        <f>H9+I9</f>
        <v>5566.5085258249646</v>
      </c>
      <c r="K9" s="341">
        <v>100</v>
      </c>
      <c r="L9" s="583">
        <f>J9*K9/100</f>
        <v>5566.5085258249646</v>
      </c>
      <c r="M9" s="960" t="s">
        <v>136</v>
      </c>
      <c r="N9" s="943" t="s">
        <v>577</v>
      </c>
    </row>
    <row r="10" spans="1:18" ht="40.5" customHeight="1" x14ac:dyDescent="0.25">
      <c r="A10" s="364"/>
      <c r="B10" s="385"/>
      <c r="C10" s="353" t="s">
        <v>166</v>
      </c>
      <c r="D10" s="144" t="s">
        <v>186</v>
      </c>
      <c r="E10" s="404"/>
      <c r="F10" s="130"/>
      <c r="G10" s="334"/>
      <c r="H10" s="334"/>
      <c r="I10" s="334"/>
      <c r="J10" s="334"/>
      <c r="K10" s="334"/>
      <c r="L10" s="510"/>
      <c r="M10" s="960" t="s">
        <v>136</v>
      </c>
      <c r="N10" s="1017" t="s">
        <v>578</v>
      </c>
    </row>
    <row r="11" spans="1:18" ht="29.25" customHeight="1" x14ac:dyDescent="0.25">
      <c r="A11" s="418"/>
      <c r="B11" s="336" t="s">
        <v>83</v>
      </c>
      <c r="C11" s="336" t="s">
        <v>167</v>
      </c>
      <c r="D11" s="144" t="s">
        <v>658</v>
      </c>
      <c r="E11" s="395"/>
      <c r="F11" s="384"/>
      <c r="G11" s="386"/>
      <c r="H11" s="386"/>
      <c r="I11" s="386"/>
      <c r="J11" s="386"/>
      <c r="K11" s="386"/>
      <c r="L11" s="510"/>
      <c r="M11" s="960" t="s">
        <v>136</v>
      </c>
      <c r="N11" s="988" t="s">
        <v>579</v>
      </c>
    </row>
    <row r="12" spans="1:18" ht="40.5" customHeight="1" x14ac:dyDescent="0.25">
      <c r="A12" s="223"/>
      <c r="B12" s="336" t="s">
        <v>168</v>
      </c>
      <c r="C12" s="336" t="s">
        <v>296</v>
      </c>
      <c r="D12" s="144" t="s">
        <v>170</v>
      </c>
      <c r="E12" s="260"/>
      <c r="F12" s="235"/>
      <c r="G12" s="386"/>
      <c r="H12" s="386"/>
      <c r="I12" s="386"/>
      <c r="J12" s="386"/>
      <c r="K12" s="386"/>
      <c r="L12" s="510"/>
      <c r="M12" s="960" t="s">
        <v>136</v>
      </c>
      <c r="N12" s="988" t="s">
        <v>580</v>
      </c>
    </row>
    <row r="13" spans="1:18" ht="42" customHeight="1" thickBot="1" x14ac:dyDescent="0.3">
      <c r="A13" s="364"/>
      <c r="B13" s="144" t="s">
        <v>171</v>
      </c>
      <c r="C13" s="353" t="s">
        <v>297</v>
      </c>
      <c r="D13" s="144" t="s">
        <v>172</v>
      </c>
      <c r="E13" s="404"/>
      <c r="F13" s="130"/>
      <c r="G13" s="552"/>
      <c r="H13" s="552"/>
      <c r="I13" s="552"/>
      <c r="J13" s="552"/>
      <c r="K13" s="552"/>
      <c r="L13" s="553"/>
      <c r="M13" s="960" t="s">
        <v>136</v>
      </c>
      <c r="N13" s="988" t="s">
        <v>580</v>
      </c>
    </row>
    <row r="14" spans="1:18" ht="18" customHeight="1" x14ac:dyDescent="0.25">
      <c r="A14" s="207" t="s">
        <v>198</v>
      </c>
      <c r="B14" s="643"/>
      <c r="C14" s="643"/>
      <c r="D14" s="643"/>
      <c r="E14" s="643"/>
      <c r="F14" s="643"/>
      <c r="G14" s="657"/>
      <c r="H14" s="657"/>
      <c r="I14" s="657"/>
      <c r="J14" s="657"/>
      <c r="K14" s="657"/>
      <c r="L14" s="658"/>
      <c r="M14" s="691"/>
      <c r="N14" s="692"/>
    </row>
    <row r="15" spans="1:18" ht="30" customHeight="1" thickBot="1" x14ac:dyDescent="0.3">
      <c r="A15" s="274" t="s">
        <v>0</v>
      </c>
      <c r="B15" s="275" t="s">
        <v>1</v>
      </c>
      <c r="C15" s="276" t="s">
        <v>16</v>
      </c>
      <c r="D15" s="275" t="s">
        <v>17</v>
      </c>
      <c r="E15" s="275" t="s">
        <v>18</v>
      </c>
      <c r="F15" s="275"/>
      <c r="G15" s="659" t="s">
        <v>30</v>
      </c>
      <c r="H15" s="659" t="s">
        <v>2</v>
      </c>
      <c r="I15" s="660" t="s">
        <v>3</v>
      </c>
      <c r="J15" s="659" t="s">
        <v>4</v>
      </c>
      <c r="K15" s="660" t="s">
        <v>5</v>
      </c>
      <c r="L15" s="662" t="s">
        <v>15</v>
      </c>
      <c r="M15" s="275" t="s">
        <v>18</v>
      </c>
      <c r="N15" s="277" t="s">
        <v>495</v>
      </c>
    </row>
    <row r="16" spans="1:18" ht="61.5" customHeight="1" x14ac:dyDescent="0.25">
      <c r="A16" s="223" t="s">
        <v>204</v>
      </c>
      <c r="B16" s="1053" t="s">
        <v>181</v>
      </c>
      <c r="C16" s="180" t="s">
        <v>157</v>
      </c>
      <c r="D16" s="1114" t="s">
        <v>252</v>
      </c>
      <c r="E16" s="188"/>
      <c r="F16" s="188"/>
      <c r="G16" s="807">
        <v>4.5100000000000001E-2</v>
      </c>
      <c r="H16" s="495">
        <f>G16*176702*(14.22/13.94)</f>
        <v>8129.3314235294138</v>
      </c>
      <c r="I16" s="584">
        <v>12750</v>
      </c>
      <c r="J16" s="585">
        <f>SUM(H16:I16)</f>
        <v>20879.331423529413</v>
      </c>
      <c r="K16" s="585">
        <v>100</v>
      </c>
      <c r="L16" s="975">
        <f>J16*K16/100</f>
        <v>20879.331423529413</v>
      </c>
      <c r="M16" s="1066" t="s">
        <v>136</v>
      </c>
      <c r="N16" s="938"/>
    </row>
    <row r="17" spans="1:15" ht="18" customHeight="1" thickBot="1" x14ac:dyDescent="0.3">
      <c r="A17" s="223"/>
      <c r="B17" s="1054"/>
      <c r="C17" s="180" t="s">
        <v>65</v>
      </c>
      <c r="D17" s="1051"/>
      <c r="E17" s="188"/>
      <c r="F17" s="188"/>
      <c r="G17" s="381"/>
      <c r="H17" s="517"/>
      <c r="I17" s="463"/>
      <c r="J17" s="517"/>
      <c r="K17" s="517"/>
      <c r="L17" s="996"/>
      <c r="M17" s="1067"/>
      <c r="N17" s="938"/>
    </row>
    <row r="18" spans="1:15" ht="16.5" customHeight="1" x14ac:dyDescent="0.25">
      <c r="A18" s="624" t="s">
        <v>209</v>
      </c>
      <c r="B18" s="625"/>
      <c r="C18" s="625"/>
      <c r="D18" s="625"/>
      <c r="E18" s="625"/>
      <c r="F18" s="625"/>
      <c r="G18" s="625"/>
      <c r="H18" s="625"/>
      <c r="I18" s="625"/>
      <c r="J18" s="625"/>
      <c r="K18" s="625"/>
      <c r="L18" s="626"/>
      <c r="M18" s="625"/>
      <c r="N18" s="626"/>
    </row>
    <row r="19" spans="1:15" ht="30" customHeight="1" thickBot="1" x14ac:dyDescent="0.3">
      <c r="A19" s="627" t="s">
        <v>0</v>
      </c>
      <c r="B19" s="628" t="s">
        <v>1</v>
      </c>
      <c r="C19" s="630" t="s">
        <v>14</v>
      </c>
      <c r="D19" s="628" t="s">
        <v>32</v>
      </c>
      <c r="E19" s="628" t="s">
        <v>18</v>
      </c>
      <c r="F19" s="628" t="s">
        <v>155</v>
      </c>
      <c r="G19" s="628" t="s">
        <v>30</v>
      </c>
      <c r="H19" s="628" t="s">
        <v>2</v>
      </c>
      <c r="I19" s="628" t="s">
        <v>3</v>
      </c>
      <c r="J19" s="628" t="s">
        <v>4</v>
      </c>
      <c r="K19" s="628" t="s">
        <v>55</v>
      </c>
      <c r="L19" s="629" t="s">
        <v>15</v>
      </c>
      <c r="M19" s="628" t="s">
        <v>18</v>
      </c>
      <c r="N19" s="629" t="s">
        <v>495</v>
      </c>
    </row>
    <row r="20" spans="1:15" ht="16.5" customHeight="1" x14ac:dyDescent="0.25">
      <c r="A20" s="1049" t="s">
        <v>214</v>
      </c>
      <c r="B20" s="376" t="s">
        <v>180</v>
      </c>
      <c r="C20" s="376" t="s">
        <v>75</v>
      </c>
      <c r="D20" s="716" t="s">
        <v>413</v>
      </c>
      <c r="E20" s="233"/>
      <c r="F20" s="233"/>
      <c r="G20" s="375">
        <v>4.1599999999999998E-2</v>
      </c>
      <c r="H20" s="586">
        <f>G20*153816*(14.22/13.94)</f>
        <v>6527.271336585366</v>
      </c>
      <c r="I20" s="587">
        <v>14282</v>
      </c>
      <c r="J20" s="315">
        <f>H20+I20</f>
        <v>20809.271336585367</v>
      </c>
      <c r="K20" s="588">
        <v>100</v>
      </c>
      <c r="L20" s="582">
        <f>J20*K20/100</f>
        <v>20809.271336585367</v>
      </c>
      <c r="M20" s="960" t="s">
        <v>136</v>
      </c>
      <c r="N20" s="999" t="s">
        <v>355</v>
      </c>
    </row>
    <row r="21" spans="1:15" ht="15.75" customHeight="1" x14ac:dyDescent="0.25">
      <c r="A21" s="1050"/>
      <c r="B21" s="377"/>
      <c r="C21" s="377"/>
      <c r="D21" s="717" t="s">
        <v>403</v>
      </c>
      <c r="E21" s="233"/>
      <c r="F21" s="233"/>
      <c r="G21" s="518"/>
      <c r="H21" s="519"/>
      <c r="I21" s="520"/>
      <c r="J21" s="318"/>
      <c r="K21" s="382"/>
      <c r="L21" s="430"/>
      <c r="M21" s="960" t="s">
        <v>136</v>
      </c>
      <c r="N21" s="999" t="s">
        <v>355</v>
      </c>
    </row>
    <row r="22" spans="1:15" ht="27.75" customHeight="1" x14ac:dyDescent="0.25">
      <c r="A22" s="1050"/>
      <c r="B22" s="378" t="s">
        <v>76</v>
      </c>
      <c r="C22" s="378" t="s">
        <v>77</v>
      </c>
      <c r="D22" s="718" t="s">
        <v>414</v>
      </c>
      <c r="E22" s="233"/>
      <c r="F22" s="233"/>
      <c r="G22" s="518"/>
      <c r="H22" s="519"/>
      <c r="I22" s="520"/>
      <c r="J22" s="318"/>
      <c r="K22" s="382"/>
      <c r="L22" s="430"/>
      <c r="M22" s="960" t="s">
        <v>136</v>
      </c>
      <c r="N22" s="999" t="s">
        <v>355</v>
      </c>
    </row>
    <row r="23" spans="1:15" ht="28.5" customHeight="1" x14ac:dyDescent="0.25">
      <c r="A23" s="1050"/>
      <c r="B23" s="149" t="s">
        <v>78</v>
      </c>
      <c r="C23" s="149" t="s">
        <v>79</v>
      </c>
      <c r="D23" s="717" t="s">
        <v>415</v>
      </c>
      <c r="E23" s="233"/>
      <c r="F23" s="233"/>
      <c r="G23" s="518"/>
      <c r="H23" s="519"/>
      <c r="I23" s="520"/>
      <c r="J23" s="318"/>
      <c r="K23" s="382"/>
      <c r="L23" s="430"/>
      <c r="M23" s="960" t="s">
        <v>136</v>
      </c>
      <c r="N23" s="999" t="s">
        <v>355</v>
      </c>
    </row>
    <row r="24" spans="1:15" ht="28.5" customHeight="1" x14ac:dyDescent="0.25">
      <c r="A24" s="122"/>
      <c r="B24" s="149"/>
      <c r="C24" s="149" t="s">
        <v>80</v>
      </c>
      <c r="D24" s="717" t="s">
        <v>406</v>
      </c>
      <c r="E24" s="233"/>
      <c r="F24" s="233"/>
      <c r="G24" s="518"/>
      <c r="H24" s="519"/>
      <c r="I24" s="520"/>
      <c r="J24" s="318"/>
      <c r="K24" s="382"/>
      <c r="L24" s="430"/>
      <c r="M24" s="960" t="s">
        <v>136</v>
      </c>
      <c r="N24" s="999"/>
    </row>
    <row r="25" spans="1:15" ht="27.75" customHeight="1" x14ac:dyDescent="0.25">
      <c r="A25" s="122"/>
      <c r="B25" s="148" t="s">
        <v>82</v>
      </c>
      <c r="C25" s="380" t="s">
        <v>87</v>
      </c>
      <c r="D25" s="719" t="s">
        <v>407</v>
      </c>
      <c r="E25" s="233"/>
      <c r="F25" s="233"/>
      <c r="G25" s="518"/>
      <c r="H25" s="519"/>
      <c r="I25" s="520"/>
      <c r="J25" s="318"/>
      <c r="K25" s="382"/>
      <c r="L25" s="430"/>
      <c r="M25" s="960" t="s">
        <v>136</v>
      </c>
      <c r="N25" s="999"/>
    </row>
    <row r="26" spans="1:15" ht="41.25" customHeight="1" x14ac:dyDescent="0.25">
      <c r="A26" s="379"/>
      <c r="B26" s="148"/>
      <c r="C26" s="997" t="s">
        <v>397</v>
      </c>
      <c r="D26" s="998" t="s">
        <v>398</v>
      </c>
      <c r="E26" s="155"/>
      <c r="F26" s="155"/>
      <c r="G26" s="1161"/>
      <c r="H26" s="1162"/>
      <c r="I26" s="1163"/>
      <c r="J26" s="521"/>
      <c r="K26" s="1164"/>
      <c r="L26" s="1165"/>
      <c r="M26" s="1151" t="s">
        <v>136</v>
      </c>
      <c r="N26" s="995" t="s">
        <v>659</v>
      </c>
      <c r="O26" s="698"/>
    </row>
    <row r="27" spans="1:15" ht="27" customHeight="1" x14ac:dyDescent="0.25">
      <c r="A27" s="1166" t="s">
        <v>400</v>
      </c>
      <c r="B27" s="148" t="s">
        <v>83</v>
      </c>
      <c r="C27" s="1167" t="s">
        <v>84</v>
      </c>
      <c r="D27" s="380" t="s">
        <v>91</v>
      </c>
      <c r="E27" s="1168"/>
      <c r="F27" s="1168"/>
      <c r="G27" s="1169">
        <v>1E-3</v>
      </c>
      <c r="H27" s="1169">
        <f>G27*153816*(14.22/13.94)</f>
        <v>156.90556097560977</v>
      </c>
      <c r="I27" s="1170">
        <v>0</v>
      </c>
      <c r="J27" s="1171">
        <f>H27+I27</f>
        <v>156.90556097560977</v>
      </c>
      <c r="K27" s="1172">
        <v>100</v>
      </c>
      <c r="L27" s="1173">
        <f>J27*K27/100</f>
        <v>156.90556097560977</v>
      </c>
      <c r="M27" s="1151" t="s">
        <v>136</v>
      </c>
      <c r="N27" s="1174"/>
    </row>
    <row r="28" spans="1:15" ht="18.75" customHeight="1" thickBot="1" x14ac:dyDescent="0.3">
      <c r="A28" s="1175" t="s">
        <v>199</v>
      </c>
      <c r="B28" s="1176"/>
      <c r="C28" s="1177"/>
      <c r="D28" s="1178"/>
      <c r="E28" s="1179"/>
      <c r="F28" s="1179"/>
      <c r="G28" s="1180"/>
      <c r="H28" s="1181"/>
      <c r="I28" s="1181"/>
      <c r="J28" s="1181"/>
      <c r="K28" s="1181"/>
      <c r="L28" s="1182"/>
      <c r="M28" s="1178"/>
      <c r="N28" s="1183"/>
    </row>
    <row r="29" spans="1:15" ht="17.25" customHeight="1" x14ac:dyDescent="0.25">
      <c r="A29" s="663" t="s">
        <v>206</v>
      </c>
      <c r="B29" s="664"/>
      <c r="C29" s="664"/>
      <c r="D29" s="664"/>
      <c r="E29" s="664"/>
      <c r="F29" s="664"/>
      <c r="G29" s="665"/>
      <c r="H29" s="665"/>
      <c r="I29" s="665"/>
      <c r="J29" s="665"/>
      <c r="K29" s="665"/>
      <c r="L29" s="666"/>
      <c r="M29" s="194"/>
      <c r="N29" s="195"/>
    </row>
    <row r="30" spans="1:15" ht="29.25" customHeight="1" thickBot="1" x14ac:dyDescent="0.3">
      <c r="A30" s="667" t="s">
        <v>0</v>
      </c>
      <c r="B30" s="267" t="s">
        <v>1</v>
      </c>
      <c r="C30" s="280" t="s">
        <v>14</v>
      </c>
      <c r="D30" s="267" t="s">
        <v>17</v>
      </c>
      <c r="E30" s="268" t="s">
        <v>18</v>
      </c>
      <c r="F30" s="268"/>
      <c r="G30" s="668" t="s">
        <v>30</v>
      </c>
      <c r="H30" s="668" t="s">
        <v>2</v>
      </c>
      <c r="I30" s="669" t="s">
        <v>3</v>
      </c>
      <c r="J30" s="670" t="s">
        <v>4</v>
      </c>
      <c r="K30" s="669" t="s">
        <v>5</v>
      </c>
      <c r="L30" s="671" t="s">
        <v>15</v>
      </c>
      <c r="M30" s="267" t="s">
        <v>18</v>
      </c>
      <c r="N30" s="281" t="s">
        <v>495</v>
      </c>
    </row>
    <row r="31" spans="1:15" ht="42.75" customHeight="1" x14ac:dyDescent="0.25">
      <c r="A31" s="1050" t="s">
        <v>207</v>
      </c>
      <c r="B31" s="110" t="s">
        <v>117</v>
      </c>
      <c r="C31" s="360" t="s">
        <v>176</v>
      </c>
      <c r="D31" s="360" t="s">
        <v>176</v>
      </c>
      <c r="E31" s="221"/>
      <c r="F31" s="221"/>
      <c r="G31" s="808">
        <v>5.8099999999999999E-2</v>
      </c>
      <c r="H31" s="320">
        <f>G31*128495*(14.22/13.94)</f>
        <v>7615.5133493543772</v>
      </c>
      <c r="I31" s="319">
        <v>1533</v>
      </c>
      <c r="J31" s="589">
        <f>H31+I31</f>
        <v>9148.5133493543763</v>
      </c>
      <c r="K31" s="327">
        <v>100</v>
      </c>
      <c r="L31" s="429">
        <f>J31*K31/100</f>
        <v>9148.5133493543763</v>
      </c>
      <c r="M31" s="960" t="s">
        <v>136</v>
      </c>
      <c r="N31" s="943" t="s">
        <v>518</v>
      </c>
    </row>
    <row r="32" spans="1:15" ht="42" customHeight="1" x14ac:dyDescent="0.25">
      <c r="A32" s="1050"/>
      <c r="B32" s="360" t="s">
        <v>177</v>
      </c>
      <c r="C32" s="360"/>
      <c r="D32" s="198"/>
      <c r="E32" s="387"/>
      <c r="F32" s="387"/>
      <c r="G32" s="554"/>
      <c r="H32" s="391"/>
      <c r="I32" s="390"/>
      <c r="J32" s="391"/>
      <c r="K32" s="390"/>
      <c r="L32" s="510"/>
      <c r="M32" s="934"/>
      <c r="N32" s="943"/>
    </row>
    <row r="33" spans="1:14" ht="42" customHeight="1" x14ac:dyDescent="0.25">
      <c r="A33" s="1050"/>
      <c r="B33" s="360" t="s">
        <v>187</v>
      </c>
      <c r="C33" s="360"/>
      <c r="D33" s="198"/>
      <c r="E33" s="221"/>
      <c r="F33" s="221"/>
      <c r="G33" s="390"/>
      <c r="H33" s="391"/>
      <c r="I33" s="391"/>
      <c r="J33" s="363"/>
      <c r="K33" s="390"/>
      <c r="L33" s="510"/>
      <c r="M33" s="934"/>
      <c r="N33" s="943"/>
    </row>
    <row r="34" spans="1:14" ht="28.5" customHeight="1" x14ac:dyDescent="0.25">
      <c r="A34" s="1050"/>
      <c r="B34" s="360" t="s">
        <v>188</v>
      </c>
      <c r="C34" s="360"/>
      <c r="D34" s="198"/>
      <c r="E34" s="221"/>
      <c r="F34" s="221"/>
      <c r="G34" s="554"/>
      <c r="H34" s="391"/>
      <c r="I34" s="391"/>
      <c r="J34" s="363"/>
      <c r="K34" s="390"/>
      <c r="L34" s="510"/>
      <c r="M34" s="934"/>
      <c r="N34" s="943"/>
    </row>
    <row r="35" spans="1:14" ht="42.75" customHeight="1" x14ac:dyDescent="0.25">
      <c r="A35" s="1050"/>
      <c r="B35" s="360" t="s">
        <v>189</v>
      </c>
      <c r="C35" s="360"/>
      <c r="D35" s="198"/>
      <c r="E35" s="221"/>
      <c r="F35" s="221"/>
      <c r="G35" s="554"/>
      <c r="H35" s="391"/>
      <c r="I35" s="391"/>
      <c r="J35" s="363"/>
      <c r="K35" s="390"/>
      <c r="L35" s="510"/>
      <c r="M35" s="934"/>
      <c r="N35" s="943"/>
    </row>
    <row r="36" spans="1:14" ht="40.5" customHeight="1" thickBot="1" x14ac:dyDescent="0.3">
      <c r="A36" s="1052"/>
      <c r="B36" s="112" t="s">
        <v>190</v>
      </c>
      <c r="C36" s="198"/>
      <c r="D36" s="198"/>
      <c r="E36" s="221"/>
      <c r="F36" s="221"/>
      <c r="G36" s="555"/>
      <c r="H36" s="556"/>
      <c r="I36" s="396"/>
      <c r="J36" s="556"/>
      <c r="K36" s="396"/>
      <c r="L36" s="553"/>
      <c r="M36" s="934"/>
      <c r="N36" s="943"/>
    </row>
    <row r="37" spans="1:14" ht="16.5" customHeight="1" x14ac:dyDescent="0.25">
      <c r="A37" s="785" t="s">
        <v>208</v>
      </c>
      <c r="B37" s="672"/>
      <c r="C37" s="672"/>
      <c r="D37" s="672"/>
      <c r="E37" s="221"/>
      <c r="F37" s="221"/>
      <c r="G37" s="673"/>
      <c r="H37" s="673"/>
      <c r="I37" s="673"/>
      <c r="J37" s="673"/>
      <c r="K37" s="673"/>
      <c r="L37" s="674"/>
      <c r="M37" s="206"/>
      <c r="N37" s="210"/>
    </row>
    <row r="38" spans="1:14" ht="36" customHeight="1" thickBot="1" x14ac:dyDescent="0.3">
      <c r="A38" s="271" t="s">
        <v>0</v>
      </c>
      <c r="B38" s="266" t="s">
        <v>1</v>
      </c>
      <c r="C38" s="272" t="s">
        <v>14</v>
      </c>
      <c r="D38" s="266" t="s">
        <v>17</v>
      </c>
      <c r="E38" s="221"/>
      <c r="F38" s="221"/>
      <c r="G38" s="675" t="s">
        <v>30</v>
      </c>
      <c r="H38" s="675" t="s">
        <v>2</v>
      </c>
      <c r="I38" s="676" t="s">
        <v>3</v>
      </c>
      <c r="J38" s="675" t="s">
        <v>4</v>
      </c>
      <c r="K38" s="676" t="s">
        <v>5</v>
      </c>
      <c r="L38" s="677" t="s">
        <v>15</v>
      </c>
      <c r="M38" s="266" t="s">
        <v>18</v>
      </c>
      <c r="N38" s="273" t="s">
        <v>495</v>
      </c>
    </row>
    <row r="39" spans="1:14" ht="25.5" customHeight="1" x14ac:dyDescent="0.25">
      <c r="A39" s="29" t="s">
        <v>203</v>
      </c>
      <c r="B39" s="1053" t="s">
        <v>10</v>
      </c>
      <c r="C39" s="462" t="s">
        <v>19</v>
      </c>
      <c r="D39" s="103" t="s">
        <v>245</v>
      </c>
      <c r="E39" s="672"/>
      <c r="F39" s="672"/>
      <c r="G39" s="326">
        <v>0</v>
      </c>
      <c r="H39" s="326">
        <v>0</v>
      </c>
      <c r="I39" s="590">
        <f>19*21.42</f>
        <v>406.98</v>
      </c>
      <c r="J39" s="590">
        <f>I39</f>
        <v>406.98</v>
      </c>
      <c r="K39" s="327">
        <v>100</v>
      </c>
      <c r="L39" s="975">
        <f>J39*K39/100</f>
        <v>406.98</v>
      </c>
      <c r="M39" s="964" t="s">
        <v>136</v>
      </c>
      <c r="N39" s="1039" t="s">
        <v>548</v>
      </c>
    </row>
    <row r="40" spans="1:14" ht="27" customHeight="1" thickBot="1" x14ac:dyDescent="0.3">
      <c r="A40" s="220"/>
      <c r="B40" s="1054"/>
      <c r="C40" s="463" t="s">
        <v>11</v>
      </c>
      <c r="D40" s="196" t="s">
        <v>246</v>
      </c>
      <c r="E40" s="266" t="s">
        <v>18</v>
      </c>
      <c r="F40" s="266"/>
      <c r="G40" s="557"/>
      <c r="H40" s="397"/>
      <c r="I40" s="397"/>
      <c r="J40" s="397"/>
      <c r="K40" s="397"/>
      <c r="L40" s="875"/>
      <c r="M40" s="961" t="s">
        <v>136</v>
      </c>
      <c r="N40" s="1040"/>
    </row>
    <row r="41" spans="1:14" ht="5.25" customHeight="1" thickBot="1" x14ac:dyDescent="0.3">
      <c r="A41" s="369"/>
      <c r="B41" s="369"/>
      <c r="C41" s="369"/>
      <c r="D41" s="369"/>
      <c r="E41" s="135"/>
      <c r="F41" s="135"/>
      <c r="G41" s="369"/>
      <c r="H41" s="904" t="s">
        <v>432</v>
      </c>
      <c r="I41" s="369"/>
      <c r="J41" s="369"/>
      <c r="K41" s="369"/>
    </row>
    <row r="42" spans="1:14" ht="14.25" customHeight="1" thickBot="1" x14ac:dyDescent="0.3">
      <c r="A42" s="369"/>
      <c r="B42" s="1045" t="s">
        <v>12</v>
      </c>
      <c r="C42" s="702" t="s">
        <v>13</v>
      </c>
      <c r="D42" s="464">
        <v>20966.176897560978</v>
      </c>
      <c r="E42" s="105"/>
      <c r="F42" s="105"/>
      <c r="G42" s="369"/>
      <c r="H42" s="905">
        <v>20834.561599999997</v>
      </c>
      <c r="I42" s="369"/>
      <c r="J42" s="369"/>
      <c r="K42" s="369"/>
    </row>
    <row r="43" spans="1:14" ht="15" customHeight="1" thickBot="1" x14ac:dyDescent="0.3">
      <c r="A43" s="369"/>
      <c r="B43" s="1046"/>
      <c r="C43" s="217" t="s">
        <v>20</v>
      </c>
      <c r="D43" s="465">
        <v>20879.331423529413</v>
      </c>
      <c r="E43" s="369"/>
      <c r="F43" s="369"/>
      <c r="G43" s="369"/>
      <c r="H43" s="909">
        <v>20719</v>
      </c>
      <c r="I43" s="369"/>
      <c r="J43" s="369"/>
      <c r="K43" s="392"/>
      <c r="L43" s="838" t="s">
        <v>384</v>
      </c>
    </row>
    <row r="44" spans="1:14" ht="15.75" thickBot="1" x14ac:dyDescent="0.3">
      <c r="A44" s="369"/>
      <c r="B44" s="1046"/>
      <c r="C44" s="217" t="s">
        <v>24</v>
      </c>
      <c r="D44" s="464">
        <v>11011.439472740316</v>
      </c>
      <c r="E44" s="369"/>
      <c r="F44" s="369"/>
      <c r="G44" s="369"/>
      <c r="H44" s="906">
        <v>10818.1875</v>
      </c>
      <c r="I44" s="369"/>
      <c r="J44" s="369"/>
      <c r="K44" s="392"/>
      <c r="L44" s="838" t="s">
        <v>303</v>
      </c>
    </row>
    <row r="45" spans="1:14" ht="15.75" thickBot="1" x14ac:dyDescent="0.3">
      <c r="A45" s="369"/>
      <c r="B45" s="1046"/>
      <c r="C45" s="1146" t="s">
        <v>21</v>
      </c>
      <c r="D45" s="1148">
        <v>9555.4933493543758</v>
      </c>
      <c r="E45" s="369"/>
      <c r="F45" s="369"/>
      <c r="G45" s="369"/>
      <c r="H45" s="909">
        <v>9414.7199999999993</v>
      </c>
      <c r="I45" s="369"/>
      <c r="J45" s="369"/>
      <c r="K45" s="369"/>
    </row>
    <row r="46" spans="1:14" hidden="1" x14ac:dyDescent="0.25">
      <c r="A46" s="369"/>
      <c r="B46" s="1047"/>
      <c r="C46" s="238" t="s">
        <v>25</v>
      </c>
      <c r="D46" s="467">
        <v>9148.5133493543763</v>
      </c>
      <c r="E46" s="369"/>
      <c r="F46" s="369"/>
      <c r="G46" s="369"/>
      <c r="H46" s="907">
        <v>8999</v>
      </c>
      <c r="I46" s="369"/>
      <c r="J46" s="369"/>
      <c r="K46" s="369"/>
    </row>
    <row r="47" spans="1:14" ht="15.75" hidden="1" thickBot="1" x14ac:dyDescent="0.3">
      <c r="A47" s="369"/>
      <c r="B47" s="1047"/>
      <c r="C47" s="239" t="s">
        <v>26</v>
      </c>
      <c r="D47" s="468">
        <v>406.98</v>
      </c>
      <c r="E47" s="369"/>
      <c r="F47" s="369"/>
      <c r="G47" s="369"/>
      <c r="H47" s="907">
        <v>415.71999999999997</v>
      </c>
      <c r="I47" s="369"/>
      <c r="J47" s="369"/>
      <c r="K47" s="369"/>
    </row>
    <row r="48" spans="1:14" ht="15.75" thickBot="1" x14ac:dyDescent="0.3">
      <c r="A48" s="369"/>
      <c r="B48" s="1048"/>
      <c r="C48" s="240" t="s">
        <v>23</v>
      </c>
      <c r="D48" s="469">
        <v>62412.441143185089</v>
      </c>
      <c r="E48" s="369"/>
      <c r="F48" s="369"/>
      <c r="G48" s="136"/>
      <c r="H48" s="908">
        <v>61786.469100000002</v>
      </c>
      <c r="I48" s="369"/>
      <c r="J48" s="369"/>
      <c r="K48" s="369"/>
    </row>
    <row r="49" spans="1:12" x14ac:dyDescent="0.25">
      <c r="A49" s="771" t="s">
        <v>385</v>
      </c>
      <c r="B49" s="216"/>
      <c r="C49" s="369"/>
      <c r="E49" s="136"/>
      <c r="F49" s="136"/>
      <c r="G49" s="393"/>
      <c r="H49" s="369"/>
      <c r="I49" s="369"/>
      <c r="J49" s="369"/>
      <c r="K49" s="369"/>
    </row>
    <row r="50" spans="1:12" x14ac:dyDescent="0.25">
      <c r="A50" s="186" t="s">
        <v>428</v>
      </c>
      <c r="B50" s="186"/>
      <c r="C50" s="186"/>
      <c r="D50" s="777"/>
      <c r="E50" s="186"/>
      <c r="F50" s="186"/>
      <c r="G50" s="825"/>
      <c r="H50" s="186"/>
      <c r="I50" s="186"/>
      <c r="J50" s="369"/>
      <c r="K50" s="369"/>
    </row>
    <row r="51" spans="1:12" x14ac:dyDescent="0.25">
      <c r="A51" s="835"/>
      <c r="B51" s="178"/>
      <c r="C51" s="186"/>
      <c r="D51" s="825"/>
      <c r="E51" s="825"/>
      <c r="F51" s="825"/>
      <c r="G51" s="186"/>
      <c r="H51" s="186"/>
      <c r="I51" s="186"/>
      <c r="J51" s="369"/>
      <c r="K51" s="369"/>
    </row>
    <row r="52" spans="1:12" x14ac:dyDescent="0.25">
      <c r="A52" s="784"/>
      <c r="B52" s="178"/>
      <c r="C52" s="186"/>
      <c r="D52" s="826"/>
      <c r="E52" s="825"/>
      <c r="F52" s="825"/>
      <c r="G52" s="827"/>
      <c r="H52" s="827"/>
      <c r="I52" s="827"/>
      <c r="J52" s="369"/>
      <c r="K52" s="369"/>
    </row>
    <row r="53" spans="1:12" x14ac:dyDescent="0.25">
      <c r="A53" s="784"/>
      <c r="B53" s="178"/>
      <c r="C53" s="186"/>
      <c r="D53" s="186"/>
      <c r="E53" s="186"/>
      <c r="F53" s="186"/>
      <c r="G53" s="186"/>
      <c r="H53" s="834"/>
      <c r="I53" s="186"/>
      <c r="J53" s="369"/>
      <c r="K53" s="369"/>
    </row>
    <row r="54" spans="1:12" x14ac:dyDescent="0.25">
      <c r="A54" s="784"/>
      <c r="B54" s="178"/>
      <c r="C54" s="186"/>
      <c r="D54" s="178"/>
      <c r="E54" s="186"/>
      <c r="F54" s="186"/>
      <c r="G54" s="178"/>
      <c r="H54" s="834"/>
      <c r="I54" s="186"/>
      <c r="K54" s="369"/>
    </row>
    <row r="55" spans="1:12" x14ac:dyDescent="0.25">
      <c r="A55" s="700"/>
      <c r="B55" s="178"/>
      <c r="C55" s="186"/>
      <c r="D55" s="186"/>
      <c r="E55" s="186"/>
      <c r="F55" s="186"/>
      <c r="G55" s="178"/>
      <c r="H55" s="834"/>
      <c r="I55" s="186"/>
      <c r="K55" s="369"/>
      <c r="L55" s="779"/>
    </row>
    <row r="56" spans="1:12" x14ac:dyDescent="0.25">
      <c r="A56" s="784"/>
      <c r="B56" s="178"/>
      <c r="C56" s="178"/>
      <c r="D56" s="186"/>
      <c r="E56" s="178"/>
      <c r="F56" s="178"/>
      <c r="G56" s="186"/>
      <c r="H56" s="834"/>
      <c r="I56" s="186"/>
      <c r="L56" s="779"/>
    </row>
    <row r="57" spans="1:12" x14ac:dyDescent="0.25">
      <c r="A57" s="784"/>
      <c r="B57" s="178"/>
      <c r="C57" s="178"/>
      <c r="D57" s="830"/>
      <c r="E57" s="178"/>
      <c r="F57" s="178"/>
      <c r="G57" s="178"/>
      <c r="H57" s="834"/>
      <c r="I57" s="178"/>
      <c r="L57" s="779"/>
    </row>
    <row r="58" spans="1:12" x14ac:dyDescent="0.25">
      <c r="A58" s="178"/>
      <c r="B58" s="784"/>
      <c r="C58" s="178"/>
      <c r="D58" s="186"/>
      <c r="E58" s="178"/>
      <c r="F58" s="178"/>
      <c r="G58" s="178"/>
      <c r="H58" s="834"/>
      <c r="I58" s="186"/>
      <c r="L58" s="779"/>
    </row>
    <row r="59" spans="1:12" x14ac:dyDescent="0.25">
      <c r="A59" s="178"/>
      <c r="B59" s="178"/>
      <c r="C59" s="178"/>
      <c r="D59" s="186"/>
      <c r="E59" s="178"/>
      <c r="F59" s="178"/>
      <c r="G59" s="178"/>
      <c r="H59" s="834"/>
      <c r="I59" s="186"/>
    </row>
    <row r="60" spans="1:12" x14ac:dyDescent="0.25">
      <c r="A60" s="178"/>
      <c r="B60" s="178"/>
      <c r="C60" s="178"/>
      <c r="D60" s="186"/>
      <c r="E60" s="178"/>
      <c r="F60" s="178"/>
      <c r="G60" s="178"/>
      <c r="H60" s="834"/>
      <c r="I60" s="186"/>
      <c r="L60" s="779"/>
    </row>
    <row r="61" spans="1:12" x14ac:dyDescent="0.25">
      <c r="A61" s="178"/>
      <c r="B61" s="178"/>
      <c r="C61" s="178"/>
      <c r="D61" s="186"/>
      <c r="E61" s="178"/>
      <c r="F61" s="178"/>
      <c r="G61" s="178"/>
      <c r="H61" s="834"/>
      <c r="I61" s="186"/>
      <c r="L61" s="779"/>
    </row>
    <row r="62" spans="1:12" x14ac:dyDescent="0.25">
      <c r="L62" s="779"/>
    </row>
    <row r="63" spans="1:12" x14ac:dyDescent="0.25">
      <c r="L63" s="779"/>
    </row>
  </sheetData>
  <mergeCells count="11">
    <mergeCell ref="N39:N40"/>
    <mergeCell ref="M16:M17"/>
    <mergeCell ref="D16:D17"/>
    <mergeCell ref="A5:A7"/>
    <mergeCell ref="B39:B40"/>
    <mergeCell ref="A20:A23"/>
    <mergeCell ref="B42:B48"/>
    <mergeCell ref="A31:A32"/>
    <mergeCell ref="A33:A34"/>
    <mergeCell ref="A35:A36"/>
    <mergeCell ref="B16:B17"/>
  </mergeCells>
  <conditionalFormatting sqref="M5:M13">
    <cfRule type="cellIs" dxfId="247" priority="17" operator="equal">
      <formula>$P$7</formula>
    </cfRule>
    <cfRule type="cellIs" dxfId="246" priority="18" operator="equal">
      <formula>$P$6</formula>
    </cfRule>
    <cfRule type="cellIs" dxfId="245" priority="19" operator="equal">
      <formula>$P$5</formula>
    </cfRule>
    <cfRule type="cellIs" dxfId="244" priority="20" operator="notEqual">
      <formula>$P$4</formula>
    </cfRule>
  </conditionalFormatting>
  <conditionalFormatting sqref="M16">
    <cfRule type="cellIs" dxfId="243" priority="13" operator="equal">
      <formula>$P$7</formula>
    </cfRule>
    <cfRule type="cellIs" dxfId="242" priority="14" operator="equal">
      <formula>$P$6</formula>
    </cfRule>
    <cfRule type="cellIs" dxfId="241" priority="15" operator="equal">
      <formula>$P$5</formula>
    </cfRule>
    <cfRule type="cellIs" dxfId="240" priority="16" operator="notEqual">
      <formula>$P$4</formula>
    </cfRule>
  </conditionalFormatting>
  <conditionalFormatting sqref="M20:M27">
    <cfRule type="cellIs" dxfId="239" priority="9" operator="equal">
      <formula>$P$7</formula>
    </cfRule>
    <cfRule type="cellIs" dxfId="238" priority="10" operator="equal">
      <formula>$P$6</formula>
    </cfRule>
    <cfRule type="cellIs" dxfId="237" priority="11" operator="equal">
      <formula>$P$5</formula>
    </cfRule>
    <cfRule type="cellIs" dxfId="236" priority="12" operator="notEqual">
      <formula>$P$4</formula>
    </cfRule>
  </conditionalFormatting>
  <conditionalFormatting sqref="M31">
    <cfRule type="cellIs" dxfId="235" priority="5" operator="equal">
      <formula>$P$7</formula>
    </cfRule>
    <cfRule type="cellIs" dxfId="234" priority="6" operator="equal">
      <formula>$P$6</formula>
    </cfRule>
    <cfRule type="cellIs" dxfId="233" priority="7" operator="equal">
      <formula>$P$5</formula>
    </cfRule>
    <cfRule type="cellIs" dxfId="232" priority="8" operator="notEqual">
      <formula>$P$4</formula>
    </cfRule>
  </conditionalFormatting>
  <conditionalFormatting sqref="M39:M40">
    <cfRule type="cellIs" dxfId="231" priority="1" operator="equal">
      <formula>$P$7</formula>
    </cfRule>
    <cfRule type="cellIs" dxfId="230" priority="2" operator="equal">
      <formula>$P$6</formula>
    </cfRule>
    <cfRule type="cellIs" dxfId="229" priority="3" operator="equal">
      <formula>$P$5</formula>
    </cfRule>
    <cfRule type="cellIs" dxfId="228" priority="4" operator="notEqual">
      <formula>$P$4</formula>
    </cfRule>
  </conditionalFormatting>
  <dataValidations count="1">
    <dataValidation type="list" allowBlank="1" showInputMessage="1" showErrorMessage="1" sqref="M5:M13 M16 M20:M27 M31 M39:M40" xr:uid="{18372455-F6B6-4E9E-9D11-A322F707D996}">
      <formula1>$P$4:$P$7</formula1>
    </dataValidation>
  </dataValidations>
  <pageMargins left="0.7" right="0.7" top="0.75" bottom="0.75" header="0.3" footer="0.3"/>
  <pageSetup paperSize="8" scale="8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R35"/>
  <sheetViews>
    <sheetView showWhiteSpace="0" topLeftCell="A10" zoomScaleNormal="100" workbookViewId="0">
      <selection activeCell="M43" sqref="M42:M43"/>
    </sheetView>
  </sheetViews>
  <sheetFormatPr defaultRowHeight="15" x14ac:dyDescent="0.25"/>
  <cols>
    <col min="1" max="1" width="17.5703125" customWidth="1"/>
    <col min="2" max="2" width="46" customWidth="1"/>
    <col min="3" max="3" width="41.28515625" customWidth="1"/>
    <col min="4" max="4" width="44.140625" customWidth="1"/>
    <col min="5" max="5" width="8.140625" hidden="1" customWidth="1"/>
    <col min="6" max="6" width="6.85546875" hidden="1" customWidth="1"/>
    <col min="7" max="7" width="7.85546875" hidden="1" customWidth="1"/>
    <col min="8" max="8" width="10.140625" hidden="1" customWidth="1"/>
    <col min="9" max="9" width="7.28515625" hidden="1" customWidth="1"/>
    <col min="10" max="10" width="5.42578125" hidden="1" customWidth="1"/>
    <col min="11" max="11" width="9" hidden="1" customWidth="1"/>
    <col min="13" max="13" width="34.28515625" customWidth="1"/>
    <col min="17" max="18" width="0" hidden="1" customWidth="1"/>
  </cols>
  <sheetData>
    <row r="1" spans="1:18" ht="18" x14ac:dyDescent="0.25">
      <c r="A1" s="735" t="s">
        <v>561</v>
      </c>
      <c r="J1" s="74"/>
      <c r="K1" s="573" t="s">
        <v>298</v>
      </c>
      <c r="M1" s="1014">
        <v>43586</v>
      </c>
    </row>
    <row r="2" spans="1:18" ht="4.5" customHeight="1" thickBot="1" x14ac:dyDescent="0.3"/>
    <row r="3" spans="1:18" s="176" customFormat="1" ht="17.25" customHeight="1" x14ac:dyDescent="0.25">
      <c r="A3" s="293" t="s">
        <v>197</v>
      </c>
      <c r="B3" s="294"/>
      <c r="C3" s="294"/>
      <c r="D3" s="294"/>
      <c r="E3" s="294"/>
      <c r="F3" s="294"/>
      <c r="G3" s="294"/>
      <c r="H3" s="294"/>
      <c r="I3" s="294"/>
      <c r="J3" s="294"/>
      <c r="K3" s="296"/>
      <c r="L3" s="294"/>
      <c r="M3" s="296"/>
    </row>
    <row r="4" spans="1:18" s="176" customFormat="1" ht="30"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Q4" s="945"/>
      <c r="R4" s="176" t="s">
        <v>136</v>
      </c>
    </row>
    <row r="5" spans="1:18" s="176" customFormat="1" ht="27.75" customHeight="1" x14ac:dyDescent="0.25">
      <c r="A5" s="1049" t="s">
        <v>205</v>
      </c>
      <c r="B5" s="144" t="s">
        <v>412</v>
      </c>
      <c r="C5" s="147" t="s">
        <v>42</v>
      </c>
      <c r="D5" s="415" t="s">
        <v>46</v>
      </c>
      <c r="E5" s="71"/>
      <c r="F5" s="487">
        <v>0.11</v>
      </c>
      <c r="G5" s="488">
        <f>153939*1.025*F5</f>
        <v>17356.622249999997</v>
      </c>
      <c r="H5" s="487">
        <v>1566</v>
      </c>
      <c r="I5" s="489">
        <f>G5+H5</f>
        <v>18922.622249999997</v>
      </c>
      <c r="J5" s="592">
        <v>50</v>
      </c>
      <c r="K5" s="491">
        <f>I5*J5/100</f>
        <v>9461.3111249999984</v>
      </c>
      <c r="L5" s="960" t="s">
        <v>136</v>
      </c>
      <c r="M5" s="941" t="s">
        <v>630</v>
      </c>
      <c r="Q5" s="946"/>
      <c r="R5" s="176" t="s">
        <v>496</v>
      </c>
    </row>
    <row r="6" spans="1:18" ht="40.5" customHeight="1" x14ac:dyDescent="0.25">
      <c r="A6" s="1050"/>
      <c r="B6" s="144" t="s">
        <v>40</v>
      </c>
      <c r="C6" s="144" t="s">
        <v>45</v>
      </c>
      <c r="D6" s="144" t="s">
        <v>366</v>
      </c>
      <c r="E6" s="71"/>
      <c r="F6" s="7"/>
      <c r="G6" s="12"/>
      <c r="H6" s="13"/>
      <c r="I6" s="12"/>
      <c r="J6" s="13"/>
      <c r="K6" s="14"/>
      <c r="L6" s="960" t="s">
        <v>136</v>
      </c>
      <c r="M6" s="1022" t="s">
        <v>622</v>
      </c>
      <c r="Q6" s="947"/>
      <c r="R6" s="176" t="s">
        <v>497</v>
      </c>
    </row>
    <row r="7" spans="1:18" ht="27" customHeight="1" x14ac:dyDescent="0.25">
      <c r="A7" s="10"/>
      <c r="B7" s="413" t="s">
        <v>41</v>
      </c>
      <c r="C7" s="413" t="s">
        <v>43</v>
      </c>
      <c r="D7" s="717" t="s">
        <v>332</v>
      </c>
      <c r="E7" s="7"/>
      <c r="F7" s="7"/>
      <c r="G7" s="7"/>
      <c r="H7" s="7"/>
      <c r="I7" s="7"/>
      <c r="J7" s="7"/>
      <c r="K7" s="14"/>
      <c r="L7" s="960" t="s">
        <v>136</v>
      </c>
      <c r="M7" s="943" t="s">
        <v>631</v>
      </c>
      <c r="N7" s="698"/>
      <c r="Q7" s="948"/>
      <c r="R7" s="176" t="s">
        <v>498</v>
      </c>
    </row>
    <row r="8" spans="1:18" ht="27" customHeight="1" thickBot="1" x14ac:dyDescent="0.3">
      <c r="A8" s="10"/>
      <c r="B8" s="144" t="s">
        <v>37</v>
      </c>
      <c r="C8" s="144" t="s">
        <v>44</v>
      </c>
      <c r="D8" s="336" t="s">
        <v>47</v>
      </c>
      <c r="E8" s="71"/>
      <c r="F8" s="7"/>
      <c r="G8" s="12"/>
      <c r="H8" s="13"/>
      <c r="I8" s="12"/>
      <c r="J8" s="13"/>
      <c r="K8" s="14"/>
      <c r="L8" s="960" t="s">
        <v>136</v>
      </c>
      <c r="M8" s="987" t="s">
        <v>627</v>
      </c>
    </row>
    <row r="9" spans="1:18" ht="18" customHeight="1" x14ac:dyDescent="0.25">
      <c r="A9" s="207" t="s">
        <v>198</v>
      </c>
      <c r="B9" s="208"/>
      <c r="C9" s="208"/>
      <c r="D9" s="208"/>
      <c r="E9" s="208"/>
      <c r="F9" s="208"/>
      <c r="G9" s="208"/>
      <c r="H9" s="208"/>
      <c r="I9" s="208"/>
      <c r="J9" s="208"/>
      <c r="K9" s="211"/>
      <c r="L9" s="691"/>
      <c r="M9" s="692"/>
    </row>
    <row r="10" spans="1:18" ht="28.5"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8" ht="41.25" customHeight="1" x14ac:dyDescent="0.25">
      <c r="A11" s="1050" t="s">
        <v>204</v>
      </c>
      <c r="B11" s="3" t="s">
        <v>6</v>
      </c>
      <c r="C11" s="1051" t="s">
        <v>27</v>
      </c>
      <c r="D11" s="570" t="s">
        <v>282</v>
      </c>
      <c r="E11" s="7"/>
      <c r="F11" s="765">
        <v>4.0599999999999997E-2</v>
      </c>
      <c r="G11" s="597">
        <f>176702*F11*1.025</f>
        <v>7353.4537299999984</v>
      </c>
      <c r="H11" s="607" t="s">
        <v>22</v>
      </c>
      <c r="I11" s="598">
        <f>G11</f>
        <v>7353.4537299999984</v>
      </c>
      <c r="J11" s="599">
        <v>100</v>
      </c>
      <c r="K11" s="966">
        <f>$I$11</f>
        <v>7353.4537299999984</v>
      </c>
      <c r="L11" s="1066" t="s">
        <v>136</v>
      </c>
      <c r="M11" s="938"/>
    </row>
    <row r="12" spans="1:18" ht="40.5" customHeight="1" thickBot="1" x14ac:dyDescent="0.3">
      <c r="A12" s="1071"/>
      <c r="B12" s="3" t="s">
        <v>7</v>
      </c>
      <c r="C12" s="1051"/>
      <c r="D12" s="68"/>
      <c r="E12" s="73"/>
      <c r="F12" s="35"/>
      <c r="G12" s="34"/>
      <c r="H12" s="12"/>
      <c r="I12" s="12"/>
      <c r="J12" s="13"/>
      <c r="K12" s="34"/>
      <c r="L12" s="1067"/>
      <c r="M12" s="938"/>
    </row>
    <row r="13" spans="1:18" s="176" customFormat="1" ht="18.75" customHeight="1" x14ac:dyDescent="0.25">
      <c r="A13" s="624" t="s">
        <v>209</v>
      </c>
      <c r="B13" s="625"/>
      <c r="C13" s="625"/>
      <c r="D13" s="625"/>
      <c r="E13" s="625"/>
      <c r="F13" s="625"/>
      <c r="G13" s="625"/>
      <c r="H13" s="625"/>
      <c r="I13" s="625"/>
      <c r="J13" s="625"/>
      <c r="K13" s="626"/>
      <c r="L13" s="625"/>
      <c r="M13" s="626"/>
    </row>
    <row r="14" spans="1:18" s="176" customFormat="1" ht="30.75" customHeight="1" thickBot="1" x14ac:dyDescent="0.3">
      <c r="A14" s="627" t="s">
        <v>0</v>
      </c>
      <c r="B14" s="628" t="s">
        <v>1</v>
      </c>
      <c r="C14" s="628" t="s">
        <v>14</v>
      </c>
      <c r="D14" s="628" t="s">
        <v>32</v>
      </c>
      <c r="E14" s="628" t="s">
        <v>18</v>
      </c>
      <c r="F14" s="628" t="s">
        <v>30</v>
      </c>
      <c r="G14" s="628" t="s">
        <v>2</v>
      </c>
      <c r="H14" s="628" t="s">
        <v>3</v>
      </c>
      <c r="I14" s="628" t="s">
        <v>4</v>
      </c>
      <c r="J14" s="628" t="s">
        <v>29</v>
      </c>
      <c r="K14" s="629" t="s">
        <v>56</v>
      </c>
      <c r="L14" s="628" t="s">
        <v>18</v>
      </c>
      <c r="M14" s="629" t="s">
        <v>495</v>
      </c>
    </row>
    <row r="15" spans="1:18" s="176" customFormat="1" ht="42" customHeight="1" x14ac:dyDescent="0.25">
      <c r="A15" s="1049" t="s">
        <v>656</v>
      </c>
      <c r="B15" s="940" t="s">
        <v>506</v>
      </c>
      <c r="C15" s="978" t="s">
        <v>391</v>
      </c>
      <c r="D15" s="757" t="s">
        <v>515</v>
      </c>
      <c r="E15" s="69"/>
      <c r="F15" s="760">
        <v>0.32300000000000001</v>
      </c>
      <c r="G15" s="64">
        <f>153816*F15*1.025</f>
        <v>50924.632199999993</v>
      </c>
      <c r="H15" s="64">
        <v>18000</v>
      </c>
      <c r="I15" s="64">
        <f>H15+G15</f>
        <v>68924.632199999993</v>
      </c>
      <c r="J15" s="480">
        <v>0.5</v>
      </c>
      <c r="K15" s="63">
        <f>I15*J15</f>
        <v>34462.316099999996</v>
      </c>
      <c r="L15" s="960" t="s">
        <v>136</v>
      </c>
      <c r="M15" s="1091" t="s">
        <v>657</v>
      </c>
    </row>
    <row r="16" spans="1:18" s="176" customFormat="1" ht="36" customHeight="1" thickBot="1" x14ac:dyDescent="0.3">
      <c r="A16" s="1050"/>
      <c r="B16" s="979" t="s">
        <v>36</v>
      </c>
      <c r="C16" s="979" t="s">
        <v>38</v>
      </c>
      <c r="D16" s="980" t="s">
        <v>514</v>
      </c>
      <c r="E16" s="70"/>
      <c r="F16" s="35"/>
      <c r="G16" s="34"/>
      <c r="H16" s="34"/>
      <c r="I16" s="34"/>
      <c r="J16" s="34"/>
      <c r="K16" s="14"/>
      <c r="L16" s="960" t="s">
        <v>136</v>
      </c>
      <c r="M16" s="1092"/>
    </row>
    <row r="17" spans="1:13" ht="18.75" customHeight="1" thickBot="1" x14ac:dyDescent="0.3">
      <c r="A17" s="36" t="s">
        <v>199</v>
      </c>
      <c r="B17" s="23"/>
      <c r="C17" s="24"/>
      <c r="D17" s="25"/>
      <c r="E17" s="26"/>
      <c r="F17" s="26"/>
      <c r="G17" s="27"/>
      <c r="H17" s="27"/>
      <c r="I17" s="27"/>
      <c r="J17" s="27"/>
      <c r="K17" s="28"/>
      <c r="L17" s="25"/>
      <c r="M17" s="944"/>
    </row>
    <row r="18" spans="1:13" ht="17.25" customHeight="1" x14ac:dyDescent="0.25">
      <c r="A18" s="193" t="s">
        <v>200</v>
      </c>
      <c r="B18" s="194"/>
      <c r="C18" s="194"/>
      <c r="D18" s="194"/>
      <c r="E18" s="194"/>
      <c r="F18" s="194"/>
      <c r="G18" s="194"/>
      <c r="H18" s="194"/>
      <c r="I18" s="194"/>
      <c r="J18" s="194"/>
      <c r="K18" s="195"/>
      <c r="L18" s="194"/>
      <c r="M18" s="195"/>
    </row>
    <row r="19" spans="1:13" ht="30" customHeight="1" thickBot="1" x14ac:dyDescent="0.3">
      <c r="A19" s="279" t="s">
        <v>0</v>
      </c>
      <c r="B19" s="267" t="s">
        <v>1</v>
      </c>
      <c r="C19" s="280" t="s">
        <v>14</v>
      </c>
      <c r="D19" s="267" t="s">
        <v>17</v>
      </c>
      <c r="E19" s="268" t="s">
        <v>18</v>
      </c>
      <c r="F19" s="268" t="s">
        <v>30</v>
      </c>
      <c r="G19" s="268" t="s">
        <v>2</v>
      </c>
      <c r="H19" s="280" t="s">
        <v>3</v>
      </c>
      <c r="I19" s="267" t="s">
        <v>4</v>
      </c>
      <c r="J19" s="280" t="s">
        <v>5</v>
      </c>
      <c r="K19" s="281" t="s">
        <v>31</v>
      </c>
      <c r="L19" s="267" t="s">
        <v>18</v>
      </c>
      <c r="M19" s="281" t="s">
        <v>495</v>
      </c>
    </row>
    <row r="20" spans="1:13" ht="27" customHeight="1" x14ac:dyDescent="0.25">
      <c r="A20" s="1049" t="s">
        <v>202</v>
      </c>
      <c r="B20" s="1053" t="s">
        <v>8</v>
      </c>
      <c r="C20" s="242" t="s">
        <v>9</v>
      </c>
      <c r="D20" s="242" t="s">
        <v>34</v>
      </c>
      <c r="E20" s="60"/>
      <c r="F20" s="604">
        <v>5.2200000000000003E-2</v>
      </c>
      <c r="G20" s="472">
        <f>F20*128495*(14.22/13.94)</f>
        <v>6842.16517790531</v>
      </c>
      <c r="H20" s="473">
        <v>371</v>
      </c>
      <c r="I20" s="474">
        <f>G20+H20</f>
        <v>7213.16517790531</v>
      </c>
      <c r="J20" s="593">
        <v>100</v>
      </c>
      <c r="K20" s="476">
        <f>$I$20</f>
        <v>7213.16517790531</v>
      </c>
      <c r="L20" s="960" t="s">
        <v>136</v>
      </c>
      <c r="M20" s="1012" t="s">
        <v>536</v>
      </c>
    </row>
    <row r="21" spans="1:13" ht="27.75" customHeight="1" thickBot="1" x14ac:dyDescent="0.3">
      <c r="A21" s="1050"/>
      <c r="B21" s="1051"/>
      <c r="C21" s="179" t="s">
        <v>241</v>
      </c>
      <c r="D21" s="179" t="s">
        <v>35</v>
      </c>
      <c r="E21" s="7"/>
      <c r="F21" s="7"/>
      <c r="G21" s="185"/>
      <c r="H21" s="185"/>
      <c r="I21" s="186"/>
      <c r="J21" s="185"/>
      <c r="K21" s="192"/>
      <c r="L21" s="960" t="s">
        <v>136</v>
      </c>
      <c r="M21" s="942" t="s">
        <v>529</v>
      </c>
    </row>
    <row r="22" spans="1:13" ht="15.75" x14ac:dyDescent="0.25">
      <c r="A22" s="205" t="s">
        <v>201</v>
      </c>
      <c r="B22" s="206"/>
      <c r="C22" s="206"/>
      <c r="D22" s="206"/>
      <c r="E22" s="206"/>
      <c r="F22" s="206"/>
      <c r="G22" s="206"/>
      <c r="H22" s="206"/>
      <c r="I22" s="206"/>
      <c r="J22" s="206"/>
      <c r="K22" s="210"/>
      <c r="L22" s="206"/>
      <c r="M22" s="210"/>
    </row>
    <row r="23" spans="1:13" ht="30" customHeight="1" thickBot="1" x14ac:dyDescent="0.3">
      <c r="A23" s="271" t="s">
        <v>0</v>
      </c>
      <c r="B23" s="266" t="s">
        <v>1</v>
      </c>
      <c r="C23" s="272" t="s">
        <v>14</v>
      </c>
      <c r="D23" s="266" t="s">
        <v>17</v>
      </c>
      <c r="E23" s="266" t="s">
        <v>18</v>
      </c>
      <c r="F23" s="266" t="s">
        <v>30</v>
      </c>
      <c r="G23" s="266" t="s">
        <v>2</v>
      </c>
      <c r="H23" s="272" t="s">
        <v>3</v>
      </c>
      <c r="I23" s="266" t="s">
        <v>4</v>
      </c>
      <c r="J23" s="623" t="s">
        <v>5</v>
      </c>
      <c r="K23" s="273" t="s">
        <v>31</v>
      </c>
      <c r="L23" s="266" t="s">
        <v>18</v>
      </c>
      <c r="M23" s="273" t="s">
        <v>495</v>
      </c>
    </row>
    <row r="24" spans="1:13" ht="27.75" customHeight="1" x14ac:dyDescent="0.25">
      <c r="A24" s="1049" t="s">
        <v>203</v>
      </c>
      <c r="B24" s="1053" t="s">
        <v>10</v>
      </c>
      <c r="C24" s="462" t="s">
        <v>19</v>
      </c>
      <c r="D24" s="103" t="s">
        <v>245</v>
      </c>
      <c r="E24" s="30"/>
      <c r="F24" s="601">
        <v>0</v>
      </c>
      <c r="G24" s="487">
        <v>0</v>
      </c>
      <c r="H24" s="594">
        <f>10*21.42</f>
        <v>214.20000000000002</v>
      </c>
      <c r="I24" s="595">
        <f>H24</f>
        <v>214.20000000000002</v>
      </c>
      <c r="J24" s="593">
        <v>100</v>
      </c>
      <c r="K24" s="973">
        <f>$I$24</f>
        <v>214.20000000000002</v>
      </c>
      <c r="L24" s="964" t="s">
        <v>136</v>
      </c>
      <c r="M24" s="1039" t="s">
        <v>548</v>
      </c>
    </row>
    <row r="25" spans="1:13" ht="27.75" customHeight="1" thickBot="1" x14ac:dyDescent="0.3">
      <c r="A25" s="1052"/>
      <c r="B25" s="1054"/>
      <c r="C25" s="463" t="s">
        <v>11</v>
      </c>
      <c r="D25" s="196" t="s">
        <v>246</v>
      </c>
      <c r="E25" s="11"/>
      <c r="F25" s="11"/>
      <c r="G25" s="17"/>
      <c r="H25" s="18"/>
      <c r="I25" s="52"/>
      <c r="J25" s="18"/>
      <c r="K25" s="437"/>
      <c r="L25" s="961" t="s">
        <v>136</v>
      </c>
      <c r="M25" s="1040"/>
    </row>
    <row r="26" spans="1:13" ht="6" customHeight="1" thickBot="1" x14ac:dyDescent="0.3">
      <c r="G26" s="890" t="s">
        <v>432</v>
      </c>
    </row>
    <row r="27" spans="1:13" ht="15.75" thickBot="1" x14ac:dyDescent="0.3">
      <c r="A27" s="2"/>
      <c r="B27" s="1045" t="s">
        <v>12</v>
      </c>
      <c r="C27" s="32" t="s">
        <v>13</v>
      </c>
      <c r="D27" s="253">
        <v>34462.316099999996</v>
      </c>
      <c r="E27" s="5"/>
      <c r="F27" s="5"/>
      <c r="G27" s="878">
        <v>35328</v>
      </c>
      <c r="H27" s="816" t="s">
        <v>305</v>
      </c>
    </row>
    <row r="28" spans="1:13" ht="15.75" thickBot="1" x14ac:dyDescent="0.3">
      <c r="A28" s="2"/>
      <c r="B28" s="1046"/>
      <c r="C28" s="21" t="s">
        <v>20</v>
      </c>
      <c r="D28" s="254">
        <v>7353.4537299999984</v>
      </c>
      <c r="E28" s="5"/>
      <c r="F28" s="5"/>
      <c r="G28" s="872">
        <v>7174</v>
      </c>
      <c r="H28" s="816"/>
      <c r="I28" s="816"/>
      <c r="J28" s="816"/>
    </row>
    <row r="29" spans="1:13" ht="15.75" thickBot="1" x14ac:dyDescent="0.3">
      <c r="A29" s="2"/>
      <c r="B29" s="1046"/>
      <c r="C29" s="21" t="s">
        <v>24</v>
      </c>
      <c r="D29" s="253">
        <v>9461.3111249999984</v>
      </c>
      <c r="E29" s="5"/>
      <c r="F29" s="5"/>
      <c r="G29" s="846">
        <v>9249.5</v>
      </c>
    </row>
    <row r="30" spans="1:13" ht="15.75" thickBot="1" x14ac:dyDescent="0.3">
      <c r="A30" s="2"/>
      <c r="B30" s="1046"/>
      <c r="C30" s="1146" t="s">
        <v>21</v>
      </c>
      <c r="D30" s="1159">
        <v>7427.3651779053098</v>
      </c>
      <c r="E30" s="6"/>
      <c r="F30" s="6"/>
      <c r="G30" s="872">
        <v>7296.8</v>
      </c>
    </row>
    <row r="31" spans="1:13" hidden="1" x14ac:dyDescent="0.25">
      <c r="A31" s="2"/>
      <c r="B31" s="1047"/>
      <c r="C31" s="45" t="s">
        <v>25</v>
      </c>
      <c r="D31" s="256">
        <v>7213.16517790531</v>
      </c>
      <c r="E31" s="6"/>
      <c r="F31" s="6"/>
      <c r="G31" s="891">
        <v>7078</v>
      </c>
    </row>
    <row r="32" spans="1:13" ht="15.75" hidden="1" thickBot="1" x14ac:dyDescent="0.3">
      <c r="A32" s="2"/>
      <c r="B32" s="1047"/>
      <c r="C32" s="46" t="s">
        <v>26</v>
      </c>
      <c r="D32" s="257">
        <v>214.20000000000002</v>
      </c>
      <c r="E32" s="6"/>
      <c r="F32" s="6"/>
      <c r="G32" s="891">
        <v>218.79999999999998</v>
      </c>
    </row>
    <row r="33" spans="1:7" ht="15.75" thickBot="1" x14ac:dyDescent="0.3">
      <c r="A33" s="2"/>
      <c r="B33" s="1048"/>
      <c r="C33" s="43" t="s">
        <v>23</v>
      </c>
      <c r="D33" s="258">
        <v>58704.446132905308</v>
      </c>
      <c r="E33" s="6"/>
      <c r="F33" s="6"/>
      <c r="G33" s="871">
        <v>59048.3</v>
      </c>
    </row>
    <row r="34" spans="1:7" x14ac:dyDescent="0.25">
      <c r="A34" s="176"/>
      <c r="B34" s="33"/>
      <c r="D34" s="54"/>
      <c r="E34" s="55">
        <v>24.19</v>
      </c>
      <c r="F34" s="55"/>
    </row>
    <row r="35" spans="1:7" x14ac:dyDescent="0.25">
      <c r="A35" s="176"/>
      <c r="B35" s="33"/>
      <c r="E35" s="47">
        <v>18</v>
      </c>
      <c r="F35" s="47"/>
    </row>
  </sheetData>
  <mergeCells count="12">
    <mergeCell ref="M24:M25"/>
    <mergeCell ref="B27:B33"/>
    <mergeCell ref="B20:B21"/>
    <mergeCell ref="A11:A12"/>
    <mergeCell ref="L11:L12"/>
    <mergeCell ref="M15:M16"/>
    <mergeCell ref="A5:A6"/>
    <mergeCell ref="A20:A21"/>
    <mergeCell ref="A15:A16"/>
    <mergeCell ref="A24:A25"/>
    <mergeCell ref="C11:C12"/>
    <mergeCell ref="B24:B25"/>
  </mergeCells>
  <conditionalFormatting sqref="L24:L25">
    <cfRule type="cellIs" dxfId="227" priority="1" operator="equal">
      <formula>$P$7</formula>
    </cfRule>
    <cfRule type="cellIs" dxfId="226" priority="2" operator="equal">
      <formula>$P$6</formula>
    </cfRule>
    <cfRule type="cellIs" dxfId="225" priority="3" operator="equal">
      <formula>$P$5</formula>
    </cfRule>
    <cfRule type="cellIs" dxfId="224" priority="4" operator="notEqual">
      <formula>$P$4</formula>
    </cfRule>
  </conditionalFormatting>
  <conditionalFormatting sqref="L5:L8">
    <cfRule type="cellIs" dxfId="223" priority="17" operator="equal">
      <formula>$P$7</formula>
    </cfRule>
    <cfRule type="cellIs" dxfId="222" priority="18" operator="equal">
      <formula>$P$6</formula>
    </cfRule>
    <cfRule type="cellIs" dxfId="221" priority="19" operator="equal">
      <formula>$P$5</formula>
    </cfRule>
    <cfRule type="cellIs" dxfId="220" priority="20" operator="notEqual">
      <formula>$P$4</formula>
    </cfRule>
  </conditionalFormatting>
  <conditionalFormatting sqref="L11">
    <cfRule type="cellIs" dxfId="219" priority="13" operator="equal">
      <formula>$P$7</formula>
    </cfRule>
    <cfRule type="cellIs" dxfId="218" priority="14" operator="equal">
      <formula>$P$6</formula>
    </cfRule>
    <cfRule type="cellIs" dxfId="217" priority="15" operator="equal">
      <formula>$P$5</formula>
    </cfRule>
    <cfRule type="cellIs" dxfId="216" priority="16" operator="notEqual">
      <formula>$P$4</formula>
    </cfRule>
  </conditionalFormatting>
  <conditionalFormatting sqref="L15:L16">
    <cfRule type="cellIs" dxfId="215" priority="9" operator="equal">
      <formula>$P$7</formula>
    </cfRule>
    <cfRule type="cellIs" dxfId="214" priority="10" operator="equal">
      <formula>$P$6</formula>
    </cfRule>
    <cfRule type="cellIs" dxfId="213" priority="11" operator="equal">
      <formula>$P$5</formula>
    </cfRule>
    <cfRule type="cellIs" dxfId="212" priority="12" operator="notEqual">
      <formula>$P$4</formula>
    </cfRule>
  </conditionalFormatting>
  <conditionalFormatting sqref="L20:L21">
    <cfRule type="cellIs" dxfId="211" priority="5" operator="equal">
      <formula>$P$7</formula>
    </cfRule>
    <cfRule type="cellIs" dxfId="210" priority="6" operator="equal">
      <formula>$P$6</formula>
    </cfRule>
    <cfRule type="cellIs" dxfId="209" priority="7" operator="equal">
      <formula>$P$5</formula>
    </cfRule>
    <cfRule type="cellIs" dxfId="208" priority="8" operator="notEqual">
      <formula>$P$4</formula>
    </cfRule>
  </conditionalFormatting>
  <dataValidations count="1">
    <dataValidation type="list" allowBlank="1" showInputMessage="1" showErrorMessage="1" sqref="L11 L15:L16 L20:L21 L24:L25 L5:L8" xr:uid="{A07FB389-6AB1-4E42-AD76-606A7AADCDFF}">
      <formula1>$P$4:$P$7</formula1>
    </dataValidation>
  </dataValidations>
  <pageMargins left="0.7" right="0.7" top="0.75" bottom="0.75" header="0.3" footer="0.3"/>
  <pageSetup paperSize="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R34"/>
  <sheetViews>
    <sheetView topLeftCell="A23" zoomScaleNormal="100" workbookViewId="0">
      <selection activeCell="B44" sqref="B44"/>
    </sheetView>
  </sheetViews>
  <sheetFormatPr defaultRowHeight="15" x14ac:dyDescent="0.25"/>
  <cols>
    <col min="1" max="1" width="18.85546875" customWidth="1"/>
    <col min="2" max="2" width="42.7109375" customWidth="1"/>
    <col min="3" max="3" width="40.28515625" customWidth="1"/>
    <col min="4" max="4" width="42.42578125" customWidth="1"/>
    <col min="5" max="6" width="8.140625" hidden="1" customWidth="1"/>
    <col min="7" max="7" width="7.85546875" hidden="1" customWidth="1"/>
    <col min="8" max="8" width="10" hidden="1" customWidth="1"/>
    <col min="9" max="10" width="7.28515625" hidden="1" customWidth="1"/>
    <col min="11" max="11" width="8.85546875" hidden="1" customWidth="1"/>
    <col min="13" max="13" width="24.5703125" customWidth="1"/>
    <col min="17" max="18" width="0" hidden="1" customWidth="1"/>
  </cols>
  <sheetData>
    <row r="1" spans="1:18" ht="18" x14ac:dyDescent="0.25">
      <c r="A1" s="735" t="s">
        <v>562</v>
      </c>
      <c r="J1" s="4"/>
      <c r="K1" s="573" t="s">
        <v>331</v>
      </c>
      <c r="M1" s="1014">
        <v>43586</v>
      </c>
    </row>
    <row r="2" spans="1:18" ht="6.75" customHeight="1" thickBot="1" x14ac:dyDescent="0.3"/>
    <row r="3" spans="1:18" ht="15.75" x14ac:dyDescent="0.25">
      <c r="A3" s="293" t="s">
        <v>197</v>
      </c>
      <c r="B3" s="294"/>
      <c r="C3" s="294"/>
      <c r="D3" s="294"/>
      <c r="E3" s="294"/>
      <c r="F3" s="294"/>
      <c r="G3" s="294"/>
      <c r="H3" s="294"/>
      <c r="I3" s="294"/>
      <c r="J3" s="294"/>
      <c r="K3" s="296"/>
      <c r="L3" s="294"/>
      <c r="M3" s="296"/>
      <c r="Q3" s="176"/>
      <c r="R3" s="176"/>
    </row>
    <row r="4" spans="1:18" ht="30"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Q4" s="945"/>
      <c r="R4" s="176" t="s">
        <v>136</v>
      </c>
    </row>
    <row r="5" spans="1:18" s="176" customFormat="1" ht="32.25" customHeight="1" x14ac:dyDescent="0.25">
      <c r="A5" s="1049" t="s">
        <v>205</v>
      </c>
      <c r="B5" s="144" t="s">
        <v>412</v>
      </c>
      <c r="C5" s="147" t="s">
        <v>42</v>
      </c>
      <c r="D5" s="415" t="s">
        <v>46</v>
      </c>
      <c r="E5" s="72"/>
      <c r="F5" s="755">
        <v>5.0499999999999998E-3</v>
      </c>
      <c r="G5" s="523">
        <f>F5*157787.475</f>
        <v>796.82674874999998</v>
      </c>
      <c r="H5" s="316">
        <v>712</v>
      </c>
      <c r="I5" s="726">
        <f>G5+H5</f>
        <v>1508.82674875</v>
      </c>
      <c r="J5" s="727">
        <v>1</v>
      </c>
      <c r="K5" s="728">
        <f>I5*J5</f>
        <v>1508.82674875</v>
      </c>
      <c r="L5" s="960" t="s">
        <v>136</v>
      </c>
      <c r="M5" s="941" t="s">
        <v>624</v>
      </c>
      <c r="Q5" s="946"/>
      <c r="R5" s="176" t="s">
        <v>496</v>
      </c>
    </row>
    <row r="6" spans="1:18" s="176" customFormat="1" ht="54.75" customHeight="1" x14ac:dyDescent="0.25">
      <c r="A6" s="1050"/>
      <c r="B6" s="144" t="s">
        <v>40</v>
      </c>
      <c r="C6" s="144" t="s">
        <v>45</v>
      </c>
      <c r="D6" s="144" t="s">
        <v>366</v>
      </c>
      <c r="E6" s="8"/>
      <c r="F6" s="12"/>
      <c r="G6" s="12"/>
      <c r="H6" s="12"/>
      <c r="I6" s="12"/>
      <c r="J6" s="12"/>
      <c r="K6" s="14"/>
      <c r="L6" s="960" t="s">
        <v>136</v>
      </c>
      <c r="M6" s="1017" t="s">
        <v>622</v>
      </c>
      <c r="Q6" s="947"/>
      <c r="R6" s="176" t="s">
        <v>497</v>
      </c>
    </row>
    <row r="7" spans="1:18" ht="44.25" customHeight="1" x14ac:dyDescent="0.25">
      <c r="A7" s="223"/>
      <c r="B7" s="413" t="s">
        <v>41</v>
      </c>
      <c r="C7" s="413" t="s">
        <v>43</v>
      </c>
      <c r="D7" s="717" t="s">
        <v>332</v>
      </c>
      <c r="E7" s="7"/>
      <c r="F7" s="7"/>
      <c r="G7" s="12"/>
      <c r="H7" s="13"/>
      <c r="I7" s="12"/>
      <c r="J7" s="13"/>
      <c r="K7" s="14"/>
      <c r="L7" s="960" t="s">
        <v>136</v>
      </c>
      <c r="M7" s="955" t="s">
        <v>623</v>
      </c>
      <c r="Q7" s="948"/>
      <c r="R7" s="176" t="s">
        <v>498</v>
      </c>
    </row>
    <row r="8" spans="1:18" ht="44.25" customHeight="1" thickBot="1" x14ac:dyDescent="0.3">
      <c r="A8" s="223"/>
      <c r="B8" s="571" t="s">
        <v>37</v>
      </c>
      <c r="C8" s="571" t="s">
        <v>44</v>
      </c>
      <c r="D8" s="574" t="s">
        <v>47</v>
      </c>
      <c r="E8" s="7"/>
      <c r="F8" s="7"/>
      <c r="G8" s="12"/>
      <c r="H8" s="13"/>
      <c r="I8" s="12"/>
      <c r="J8" s="13"/>
      <c r="K8" s="14"/>
      <c r="L8" s="960" t="s">
        <v>136</v>
      </c>
      <c r="M8" s="1037" t="s">
        <v>624</v>
      </c>
    </row>
    <row r="9" spans="1:18" s="176" customFormat="1" ht="15" customHeight="1" x14ac:dyDescent="0.25">
      <c r="A9" s="1115" t="s">
        <v>309</v>
      </c>
      <c r="B9" s="1116"/>
      <c r="C9" s="1116"/>
      <c r="D9" s="1116"/>
      <c r="E9" s="1116"/>
      <c r="F9" s="1116"/>
      <c r="G9" s="1116"/>
      <c r="H9" s="1116"/>
      <c r="I9" s="1116"/>
      <c r="J9" s="1116"/>
      <c r="K9" s="1117"/>
      <c r="L9" s="691"/>
      <c r="M9" s="692"/>
    </row>
    <row r="10" spans="1:18" s="176" customFormat="1" ht="32.25" customHeight="1" thickBot="1" x14ac:dyDescent="0.3">
      <c r="A10" s="274" t="s">
        <v>0</v>
      </c>
      <c r="B10" s="275" t="s">
        <v>1</v>
      </c>
      <c r="C10" s="276" t="s">
        <v>14</v>
      </c>
      <c r="D10" s="275" t="s">
        <v>17</v>
      </c>
      <c r="E10" s="282" t="s">
        <v>18</v>
      </c>
      <c r="F10" s="282" t="s">
        <v>30</v>
      </c>
      <c r="G10" s="282" t="s">
        <v>2</v>
      </c>
      <c r="H10" s="276" t="s">
        <v>3</v>
      </c>
      <c r="I10" s="275" t="s">
        <v>4</v>
      </c>
      <c r="J10" s="276" t="s">
        <v>5</v>
      </c>
      <c r="K10" s="277" t="s">
        <v>31</v>
      </c>
      <c r="L10" s="275" t="s">
        <v>18</v>
      </c>
      <c r="M10" s="277" t="s">
        <v>495</v>
      </c>
    </row>
    <row r="11" spans="1:18" ht="45" customHeight="1" x14ac:dyDescent="0.25">
      <c r="A11" s="10" t="s">
        <v>204</v>
      </c>
      <c r="B11" s="3" t="s">
        <v>6</v>
      </c>
      <c r="C11" s="1051" t="s">
        <v>27</v>
      </c>
      <c r="D11" s="570" t="s">
        <v>259</v>
      </c>
      <c r="E11" s="7"/>
      <c r="F11" s="724">
        <v>0</v>
      </c>
      <c r="G11" s="524">
        <v>0</v>
      </c>
      <c r="H11" s="330" t="s">
        <v>22</v>
      </c>
      <c r="I11" s="524">
        <v>0</v>
      </c>
      <c r="J11" s="725">
        <v>1</v>
      </c>
      <c r="K11" s="523">
        <v>0</v>
      </c>
      <c r="L11" s="1066" t="s">
        <v>136</v>
      </c>
      <c r="M11" s="938"/>
    </row>
    <row r="12" spans="1:18" ht="45" customHeight="1" thickBot="1" x14ac:dyDescent="0.3">
      <c r="A12" s="15"/>
      <c r="B12" s="3" t="s">
        <v>7</v>
      </c>
      <c r="C12" s="1051"/>
      <c r="D12" s="68"/>
      <c r="E12" s="75"/>
      <c r="F12" s="35"/>
      <c r="G12" s="34"/>
      <c r="H12" s="12"/>
      <c r="I12" s="12"/>
      <c r="J12" s="13"/>
      <c r="K12" s="34"/>
      <c r="L12" s="1067"/>
      <c r="M12" s="938"/>
    </row>
    <row r="13" spans="1:18" s="176" customFormat="1" ht="17.25" hidden="1" customHeight="1" x14ac:dyDescent="0.25">
      <c r="A13" s="624" t="s">
        <v>209</v>
      </c>
      <c r="B13" s="625"/>
      <c r="C13" s="625"/>
      <c r="D13" s="625"/>
      <c r="E13" s="625"/>
      <c r="F13" s="625"/>
      <c r="G13" s="625"/>
      <c r="H13" s="625"/>
      <c r="I13" s="625"/>
      <c r="J13" s="625"/>
      <c r="K13" s="626"/>
      <c r="L13" s="625"/>
      <c r="M13" s="626"/>
    </row>
    <row r="14" spans="1:18" s="176" customFormat="1" ht="30.75" hidden="1" customHeight="1" thickBot="1" x14ac:dyDescent="0.3">
      <c r="A14" s="627" t="s">
        <v>0</v>
      </c>
      <c r="B14" s="628" t="s">
        <v>1</v>
      </c>
      <c r="C14" s="628" t="s">
        <v>14</v>
      </c>
      <c r="D14" s="628" t="s">
        <v>32</v>
      </c>
      <c r="E14" s="628" t="s">
        <v>18</v>
      </c>
      <c r="F14" s="628" t="s">
        <v>30</v>
      </c>
      <c r="G14" s="628" t="s">
        <v>2</v>
      </c>
      <c r="H14" s="628" t="s">
        <v>3</v>
      </c>
      <c r="I14" s="628" t="s">
        <v>4</v>
      </c>
      <c r="J14" s="628" t="s">
        <v>29</v>
      </c>
      <c r="K14" s="629" t="s">
        <v>15</v>
      </c>
      <c r="L14" s="628" t="s">
        <v>18</v>
      </c>
      <c r="M14" s="629" t="s">
        <v>495</v>
      </c>
    </row>
    <row r="15" spans="1:18" s="176" customFormat="1" ht="42" hidden="1" customHeight="1" x14ac:dyDescent="0.25">
      <c r="A15" s="1049" t="s">
        <v>210</v>
      </c>
      <c r="B15" s="940" t="s">
        <v>509</v>
      </c>
      <c r="C15" s="978" t="s">
        <v>499</v>
      </c>
      <c r="D15" s="757" t="s">
        <v>452</v>
      </c>
      <c r="E15" s="69"/>
      <c r="F15" s="760">
        <v>7.4599999999999996E-3</v>
      </c>
      <c r="G15" s="609">
        <f>F15*(153816*1.025)</f>
        <v>1176.1540439999999</v>
      </c>
      <c r="H15" s="473">
        <v>0</v>
      </c>
      <c r="I15" s="472">
        <f>G15</f>
        <v>1176.1540439999999</v>
      </c>
      <c r="J15" s="485">
        <v>1</v>
      </c>
      <c r="K15" s="486">
        <f>I15*J15</f>
        <v>1176.1540439999999</v>
      </c>
      <c r="L15"/>
      <c r="M15" s="1118"/>
    </row>
    <row r="16" spans="1:18" ht="28.5" hidden="1" customHeight="1" thickBot="1" x14ac:dyDescent="0.3">
      <c r="A16" s="1050"/>
      <c r="B16" s="979" t="s">
        <v>36</v>
      </c>
      <c r="C16" s="979" t="s">
        <v>38</v>
      </c>
      <c r="D16" s="980" t="s">
        <v>514</v>
      </c>
      <c r="E16" s="70"/>
      <c r="F16" s="233"/>
      <c r="G16" s="34"/>
      <c r="H16" s="34"/>
      <c r="I16" s="34"/>
      <c r="J16" s="34"/>
      <c r="K16" s="187"/>
      <c r="M16" s="1119"/>
    </row>
    <row r="17" spans="1:13" ht="17.25" customHeight="1" x14ac:dyDescent="0.25">
      <c r="A17" s="193" t="s">
        <v>200</v>
      </c>
      <c r="B17" s="194"/>
      <c r="C17" s="194"/>
      <c r="D17" s="194"/>
      <c r="E17" s="194"/>
      <c r="F17" s="194"/>
      <c r="G17" s="194"/>
      <c r="H17" s="194"/>
      <c r="I17" s="194"/>
      <c r="J17" s="194"/>
      <c r="K17" s="195"/>
      <c r="L17" s="194"/>
      <c r="M17" s="195"/>
    </row>
    <row r="18" spans="1:13" ht="33.75" customHeight="1" thickBot="1" x14ac:dyDescent="0.3">
      <c r="A18" s="279" t="s">
        <v>0</v>
      </c>
      <c r="B18" s="267" t="s">
        <v>1</v>
      </c>
      <c r="C18" s="280" t="s">
        <v>14</v>
      </c>
      <c r="D18" s="267" t="s">
        <v>17</v>
      </c>
      <c r="E18" s="268" t="s">
        <v>18</v>
      </c>
      <c r="F18" s="268" t="s">
        <v>30</v>
      </c>
      <c r="G18" s="268" t="s">
        <v>2</v>
      </c>
      <c r="H18" s="280" t="s">
        <v>3</v>
      </c>
      <c r="I18" s="267" t="s">
        <v>4</v>
      </c>
      <c r="J18" s="280" t="s">
        <v>5</v>
      </c>
      <c r="K18" s="281" t="s">
        <v>31</v>
      </c>
      <c r="L18" s="267" t="s">
        <v>18</v>
      </c>
      <c r="M18" s="281" t="s">
        <v>495</v>
      </c>
    </row>
    <row r="19" spans="1:13" ht="38.25" x14ac:dyDescent="0.25">
      <c r="A19" s="29" t="s">
        <v>202</v>
      </c>
      <c r="B19" s="1053" t="s">
        <v>8</v>
      </c>
      <c r="C19" s="242" t="s">
        <v>9</v>
      </c>
      <c r="D19" s="242" t="s">
        <v>34</v>
      </c>
      <c r="E19" s="60"/>
      <c r="F19" s="603">
        <v>4.7999999999999996E-3</v>
      </c>
      <c r="G19" s="472">
        <f>F19*131707.375</f>
        <v>632.19539999999995</v>
      </c>
      <c r="H19" s="473">
        <v>74</v>
      </c>
      <c r="I19" s="474">
        <f>G19+H19</f>
        <v>706.19539999999995</v>
      </c>
      <c r="J19" s="475">
        <v>1</v>
      </c>
      <c r="K19" s="476">
        <f>I19*J19</f>
        <v>706.19539999999995</v>
      </c>
      <c r="L19" s="960" t="s">
        <v>136</v>
      </c>
      <c r="M19" s="1012" t="s">
        <v>536</v>
      </c>
    </row>
    <row r="20" spans="1:13" ht="42.75" customHeight="1" thickBot="1" x14ac:dyDescent="0.3">
      <c r="A20" s="222"/>
      <c r="B20" s="1051"/>
      <c r="C20" s="179" t="s">
        <v>278</v>
      </c>
      <c r="D20" s="179" t="s">
        <v>35</v>
      </c>
      <c r="E20" s="7"/>
      <c r="F20" s="7"/>
      <c r="G20" s="185"/>
      <c r="H20" s="185"/>
      <c r="I20" s="186"/>
      <c r="J20" s="185"/>
      <c r="K20" s="192"/>
      <c r="L20" s="960" t="s">
        <v>136</v>
      </c>
      <c r="M20" s="942" t="s">
        <v>526</v>
      </c>
    </row>
    <row r="21" spans="1:13" ht="16.5" customHeight="1" x14ac:dyDescent="0.25">
      <c r="A21" s="205" t="s">
        <v>201</v>
      </c>
      <c r="B21" s="206"/>
      <c r="C21" s="206"/>
      <c r="D21" s="206"/>
      <c r="E21" s="206"/>
      <c r="F21" s="206"/>
      <c r="G21" s="206"/>
      <c r="H21" s="206"/>
      <c r="I21" s="206"/>
      <c r="J21" s="206"/>
      <c r="K21" s="210"/>
      <c r="L21" s="206"/>
      <c r="M21" s="210"/>
    </row>
    <row r="22" spans="1:13" ht="33" customHeight="1" thickBot="1" x14ac:dyDescent="0.3">
      <c r="A22" s="271" t="s">
        <v>0</v>
      </c>
      <c r="B22" s="266" t="s">
        <v>1</v>
      </c>
      <c r="C22" s="272" t="s">
        <v>14</v>
      </c>
      <c r="D22" s="266" t="s">
        <v>17</v>
      </c>
      <c r="E22" s="266" t="s">
        <v>18</v>
      </c>
      <c r="F22" s="266" t="s">
        <v>30</v>
      </c>
      <c r="G22" s="266" t="s">
        <v>2</v>
      </c>
      <c r="H22" s="272" t="s">
        <v>3</v>
      </c>
      <c r="I22" s="266" t="s">
        <v>4</v>
      </c>
      <c r="J22" s="272" t="s">
        <v>5</v>
      </c>
      <c r="K22" s="273" t="s">
        <v>31</v>
      </c>
      <c r="L22" s="266" t="s">
        <v>18</v>
      </c>
      <c r="M22" s="273" t="s">
        <v>495</v>
      </c>
    </row>
    <row r="23" spans="1:13" ht="31.5" customHeight="1" x14ac:dyDescent="0.25">
      <c r="A23" s="10" t="s">
        <v>203</v>
      </c>
      <c r="B23" s="1053" t="s">
        <v>10</v>
      </c>
      <c r="C23" s="462" t="s">
        <v>19</v>
      </c>
      <c r="D23" s="103" t="s">
        <v>245</v>
      </c>
      <c r="E23" s="30"/>
      <c r="F23" s="316">
        <v>0</v>
      </c>
      <c r="G23" s="316">
        <v>0</v>
      </c>
      <c r="H23" s="740">
        <f>2*21.42</f>
        <v>42.84</v>
      </c>
      <c r="I23" s="740">
        <f>H23</f>
        <v>42.84</v>
      </c>
      <c r="J23" s="741">
        <v>1</v>
      </c>
      <c r="K23" s="974">
        <f>I23*J23</f>
        <v>42.84</v>
      </c>
      <c r="L23" s="964" t="s">
        <v>136</v>
      </c>
      <c r="M23" s="1039" t="s">
        <v>548</v>
      </c>
    </row>
    <row r="24" spans="1:13" ht="30.75" customHeight="1" thickBot="1" x14ac:dyDescent="0.3">
      <c r="A24" s="20"/>
      <c r="B24" s="1054"/>
      <c r="C24" s="463" t="s">
        <v>11</v>
      </c>
      <c r="D24" s="196" t="s">
        <v>246</v>
      </c>
      <c r="E24" s="11"/>
      <c r="F24" s="11"/>
      <c r="G24" s="17"/>
      <c r="H24" s="18"/>
      <c r="I24" s="52"/>
      <c r="J24" s="18"/>
      <c r="K24" s="437"/>
      <c r="L24" s="961" t="s">
        <v>136</v>
      </c>
      <c r="M24" s="1040"/>
    </row>
    <row r="25" spans="1:13" ht="10.5" customHeight="1" thickBot="1" x14ac:dyDescent="0.3">
      <c r="B25" s="536"/>
      <c r="C25" s="536"/>
      <c r="D25" s="536"/>
      <c r="G25" s="890" t="s">
        <v>432</v>
      </c>
    </row>
    <row r="26" spans="1:13" ht="15.75" hidden="1" thickBot="1" x14ac:dyDescent="0.3">
      <c r="A26" s="2"/>
      <c r="B26" s="1045" t="s">
        <v>12</v>
      </c>
      <c r="C26" s="32" t="s">
        <v>48</v>
      </c>
      <c r="D26" s="79">
        <v>0</v>
      </c>
      <c r="G26" s="369"/>
    </row>
    <row r="27" spans="1:13" ht="15.75" thickBot="1" x14ac:dyDescent="0.3">
      <c r="A27" s="2"/>
      <c r="B27" s="1046"/>
      <c r="C27" s="21" t="s">
        <v>49</v>
      </c>
      <c r="D27" s="80">
        <v>0</v>
      </c>
      <c r="G27" s="878">
        <v>0</v>
      </c>
    </row>
    <row r="28" spans="1:13" ht="15.75" thickBot="1" x14ac:dyDescent="0.3">
      <c r="A28" s="2"/>
      <c r="B28" s="1046"/>
      <c r="C28" s="21" t="s">
        <v>50</v>
      </c>
      <c r="D28" s="80">
        <v>1508.82674875</v>
      </c>
      <c r="G28" s="872">
        <v>1482</v>
      </c>
      <c r="H28" s="215"/>
      <c r="I28" s="215" t="s">
        <v>438</v>
      </c>
    </row>
    <row r="29" spans="1:13" ht="15.75" thickBot="1" x14ac:dyDescent="0.3">
      <c r="A29" s="2"/>
      <c r="B29" s="1046"/>
      <c r="C29" s="81" t="s">
        <v>51</v>
      </c>
      <c r="D29" s="80">
        <v>749.19539999999995</v>
      </c>
      <c r="G29" s="846">
        <v>691</v>
      </c>
    </row>
    <row r="30" spans="1:13" ht="15.75" hidden="1" thickBot="1" x14ac:dyDescent="0.3">
      <c r="A30" s="2"/>
      <c r="B30" s="1046"/>
      <c r="C30" s="81" t="s">
        <v>52</v>
      </c>
      <c r="D30" s="80">
        <v>42.84</v>
      </c>
      <c r="G30" s="872">
        <v>43.76</v>
      </c>
    </row>
    <row r="31" spans="1:13" ht="15.75" thickBot="1" x14ac:dyDescent="0.3">
      <c r="A31" s="2"/>
      <c r="B31" s="1046"/>
      <c r="C31" s="43" t="s">
        <v>23</v>
      </c>
      <c r="D31" s="82">
        <v>2257.86214875</v>
      </c>
      <c r="G31" s="871">
        <v>2216.7600000000002</v>
      </c>
    </row>
    <row r="32" spans="1:13" ht="15.75" thickBot="1" x14ac:dyDescent="0.3">
      <c r="A32" s="2"/>
      <c r="B32" s="1048"/>
      <c r="C32" s="738" t="s">
        <v>53</v>
      </c>
      <c r="D32" s="739">
        <v>553</v>
      </c>
      <c r="G32" s="176" t="s">
        <v>433</v>
      </c>
    </row>
    <row r="33" spans="1:6" x14ac:dyDescent="0.25">
      <c r="A33" s="176" t="s">
        <v>374</v>
      </c>
      <c r="B33" s="33"/>
    </row>
    <row r="34" spans="1:6" x14ac:dyDescent="0.25">
      <c r="A34" s="176" t="s">
        <v>392</v>
      </c>
      <c r="D34" s="54"/>
      <c r="E34" s="55">
        <v>24.19</v>
      </c>
      <c r="F34" s="55"/>
    </row>
  </sheetData>
  <mergeCells count="10">
    <mergeCell ref="M23:M24"/>
    <mergeCell ref="L11:L12"/>
    <mergeCell ref="B26:B32"/>
    <mergeCell ref="C11:C12"/>
    <mergeCell ref="A5:A6"/>
    <mergeCell ref="B19:B20"/>
    <mergeCell ref="B23:B24"/>
    <mergeCell ref="A9:K9"/>
    <mergeCell ref="A15:A16"/>
    <mergeCell ref="M15:M16"/>
  </mergeCells>
  <conditionalFormatting sqref="L5:L8">
    <cfRule type="cellIs" dxfId="207" priority="17" operator="equal">
      <formula>$P$7</formula>
    </cfRule>
    <cfRule type="cellIs" dxfId="206" priority="18" operator="equal">
      <formula>$P$6</formula>
    </cfRule>
    <cfRule type="cellIs" dxfId="205" priority="19" operator="equal">
      <formula>$P$5</formula>
    </cfRule>
    <cfRule type="cellIs" dxfId="204" priority="20" operator="notEqual">
      <formula>$P$4</formula>
    </cfRule>
  </conditionalFormatting>
  <conditionalFormatting sqref="L11">
    <cfRule type="cellIs" dxfId="203" priority="13" operator="equal">
      <formula>$P$7</formula>
    </cfRule>
    <cfRule type="cellIs" dxfId="202" priority="14" operator="equal">
      <formula>$P$6</formula>
    </cfRule>
    <cfRule type="cellIs" dxfId="201" priority="15" operator="equal">
      <formula>$P$5</formula>
    </cfRule>
    <cfRule type="cellIs" dxfId="200" priority="16" operator="notEqual">
      <formula>$P$4</formula>
    </cfRule>
  </conditionalFormatting>
  <conditionalFormatting sqref="L19:L20">
    <cfRule type="cellIs" dxfId="199" priority="9" operator="equal">
      <formula>$P$7</formula>
    </cfRule>
    <cfRule type="cellIs" dxfId="198" priority="10" operator="equal">
      <formula>$P$6</formula>
    </cfRule>
    <cfRule type="cellIs" dxfId="197" priority="11" operator="equal">
      <formula>$P$5</formula>
    </cfRule>
    <cfRule type="cellIs" dxfId="196" priority="12" operator="notEqual">
      <formula>$P$4</formula>
    </cfRule>
  </conditionalFormatting>
  <conditionalFormatting sqref="L23:L24">
    <cfRule type="cellIs" dxfId="195" priority="5" operator="equal">
      <formula>$P$7</formula>
    </cfRule>
    <cfRule type="cellIs" dxfId="194" priority="6" operator="equal">
      <formula>$P$6</formula>
    </cfRule>
    <cfRule type="cellIs" dxfId="193" priority="7" operator="equal">
      <formula>$P$5</formula>
    </cfRule>
    <cfRule type="cellIs" dxfId="192" priority="8" operator="notEqual">
      <formula>$P$4</formula>
    </cfRule>
  </conditionalFormatting>
  <dataValidations count="1">
    <dataValidation type="list" allowBlank="1" showInputMessage="1" showErrorMessage="1" sqref="L5:L8 L11 L19:L20 L23:L24" xr:uid="{AFE4058E-2783-4151-A9D1-929CDBDA91AC}">
      <formula1>$P$4:$P$7</formula1>
    </dataValidation>
  </dataValidations>
  <pageMargins left="0.51181102362204722" right="0.51181102362204722" top="0.74803149606299213" bottom="0.74803149606299213" header="0.31496062992125984" footer="0.31496062992125984"/>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R33"/>
  <sheetViews>
    <sheetView topLeftCell="A13" zoomScaleNormal="100" workbookViewId="0">
      <selection activeCell="C35" sqref="C35"/>
    </sheetView>
  </sheetViews>
  <sheetFormatPr defaultRowHeight="15" x14ac:dyDescent="0.25"/>
  <cols>
    <col min="1" max="1" width="17" style="176" customWidth="1"/>
    <col min="2" max="2" width="47.42578125" style="176" customWidth="1"/>
    <col min="3" max="3" width="41.42578125" style="176" customWidth="1"/>
    <col min="4" max="4" width="40.140625" style="176" customWidth="1"/>
    <col min="5" max="6" width="8.140625" style="176" hidden="1" customWidth="1"/>
    <col min="7" max="7" width="7.85546875" style="176" hidden="1" customWidth="1"/>
    <col min="8" max="8" width="10" style="176" hidden="1" customWidth="1"/>
    <col min="9" max="10" width="7.28515625" style="176" hidden="1" customWidth="1"/>
    <col min="11" max="11" width="8.85546875" style="176" hidden="1" customWidth="1"/>
    <col min="12" max="12" width="9.140625" style="176"/>
    <col min="13" max="13" width="36.85546875" style="176" customWidth="1"/>
    <col min="14" max="16" width="9.140625" style="176"/>
    <col min="17" max="18" width="0" style="176" hidden="1" customWidth="1"/>
    <col min="19" max="16384" width="9.140625" style="176"/>
  </cols>
  <sheetData>
    <row r="1" spans="1:18" ht="18" x14ac:dyDescent="0.25">
      <c r="A1" s="735" t="s">
        <v>563</v>
      </c>
      <c r="J1" s="4"/>
      <c r="K1" s="573" t="s">
        <v>331</v>
      </c>
      <c r="M1" s="1014">
        <v>43586</v>
      </c>
    </row>
    <row r="2" spans="1:18" ht="8.25" customHeight="1" thickBot="1" x14ac:dyDescent="0.3">
      <c r="A2" s="177"/>
      <c r="J2" s="4"/>
      <c r="K2" s="416"/>
    </row>
    <row r="3" spans="1:18" ht="15.75" x14ac:dyDescent="0.25">
      <c r="A3" s="293" t="s">
        <v>197</v>
      </c>
      <c r="B3" s="294"/>
      <c r="C3" s="294"/>
      <c r="D3" s="294"/>
      <c r="E3" s="294"/>
      <c r="F3" s="294"/>
      <c r="G3" s="294"/>
      <c r="H3" s="294"/>
      <c r="I3" s="294"/>
      <c r="J3" s="294"/>
      <c r="K3" s="296"/>
      <c r="L3" s="294"/>
      <c r="M3" s="296"/>
    </row>
    <row r="4" spans="1:18" ht="35.25"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Q4" s="945"/>
      <c r="R4" s="176" t="s">
        <v>136</v>
      </c>
    </row>
    <row r="5" spans="1:18" ht="28.5" customHeight="1" x14ac:dyDescent="0.25">
      <c r="A5" s="1049" t="s">
        <v>205</v>
      </c>
      <c r="B5" s="144" t="s">
        <v>412</v>
      </c>
      <c r="C5" s="147" t="s">
        <v>42</v>
      </c>
      <c r="D5" s="415" t="s">
        <v>46</v>
      </c>
      <c r="E5" s="72"/>
      <c r="F5" s="768">
        <v>2.2800000000000001E-2</v>
      </c>
      <c r="G5" s="65">
        <f>F5*157787.475</f>
        <v>3597.5544300000001</v>
      </c>
      <c r="H5" s="62">
        <v>3222</v>
      </c>
      <c r="I5" s="51">
        <f>G5+H5</f>
        <v>6819.5544300000001</v>
      </c>
      <c r="J5" s="50">
        <v>0.5</v>
      </c>
      <c r="K5" s="246">
        <f>I5*J5</f>
        <v>3409.7772150000001</v>
      </c>
      <c r="L5" s="960" t="s">
        <v>136</v>
      </c>
      <c r="M5" s="941" t="s">
        <v>624</v>
      </c>
      <c r="Q5" s="946"/>
      <c r="R5" s="176" t="s">
        <v>496</v>
      </c>
    </row>
    <row r="6" spans="1:18" ht="42" customHeight="1" x14ac:dyDescent="0.25">
      <c r="A6" s="1050"/>
      <c r="B6" s="144" t="s">
        <v>40</v>
      </c>
      <c r="C6" s="144" t="s">
        <v>45</v>
      </c>
      <c r="D6" s="144" t="s">
        <v>366</v>
      </c>
      <c r="E6" s="8"/>
      <c r="F6" s="185"/>
      <c r="G6" s="185"/>
      <c r="H6" s="185"/>
      <c r="I6" s="185"/>
      <c r="J6" s="185"/>
      <c r="K6" s="187"/>
      <c r="L6" s="960" t="s">
        <v>136</v>
      </c>
      <c r="M6" s="1017" t="s">
        <v>622</v>
      </c>
      <c r="Q6" s="947"/>
      <c r="R6" s="176" t="s">
        <v>497</v>
      </c>
    </row>
    <row r="7" spans="1:18" ht="28.5" customHeight="1" x14ac:dyDescent="0.25">
      <c r="A7" s="223"/>
      <c r="B7" s="413" t="s">
        <v>41</v>
      </c>
      <c r="C7" s="413" t="s">
        <v>43</v>
      </c>
      <c r="D7" s="717" t="s">
        <v>334</v>
      </c>
      <c r="E7" s="7"/>
      <c r="F7" s="7"/>
      <c r="G7" s="185"/>
      <c r="H7" s="186"/>
      <c r="I7" s="185"/>
      <c r="J7" s="186"/>
      <c r="K7" s="187"/>
      <c r="L7" s="960" t="s">
        <v>136</v>
      </c>
      <c r="M7" s="988" t="s">
        <v>623</v>
      </c>
      <c r="Q7" s="948"/>
      <c r="R7" s="176" t="s">
        <v>498</v>
      </c>
    </row>
    <row r="8" spans="1:18" ht="40.5" customHeight="1" thickBot="1" x14ac:dyDescent="0.3">
      <c r="A8" s="223"/>
      <c r="B8" s="144" t="s">
        <v>37</v>
      </c>
      <c r="C8" s="144" t="s">
        <v>44</v>
      </c>
      <c r="D8" s="336" t="s">
        <v>47</v>
      </c>
      <c r="E8" s="7"/>
      <c r="F8" s="7"/>
      <c r="G8" s="185"/>
      <c r="H8" s="186"/>
      <c r="I8" s="185"/>
      <c r="J8" s="186"/>
      <c r="K8" s="187"/>
      <c r="L8" s="960" t="s">
        <v>136</v>
      </c>
      <c r="M8" s="1035" t="s">
        <v>627</v>
      </c>
    </row>
    <row r="9" spans="1:18" ht="18" customHeight="1" x14ac:dyDescent="0.25">
      <c r="A9" s="207" t="s">
        <v>198</v>
      </c>
      <c r="B9" s="208"/>
      <c r="C9" s="208"/>
      <c r="D9" s="208"/>
      <c r="E9" s="208"/>
      <c r="F9" s="208"/>
      <c r="G9" s="208"/>
      <c r="H9" s="208"/>
      <c r="I9" s="208"/>
      <c r="J9" s="208"/>
      <c r="K9" s="211"/>
      <c r="L9" s="691"/>
      <c r="M9" s="692"/>
    </row>
    <row r="10" spans="1:18" ht="33"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8" ht="41.25" customHeight="1" x14ac:dyDescent="0.25">
      <c r="A11" s="1050" t="s">
        <v>204</v>
      </c>
      <c r="B11" s="180" t="s">
        <v>6</v>
      </c>
      <c r="C11" s="1051" t="s">
        <v>27</v>
      </c>
      <c r="D11" s="570" t="s">
        <v>281</v>
      </c>
      <c r="E11" s="7"/>
      <c r="F11" s="759">
        <v>0.1168</v>
      </c>
      <c r="G11" s="48">
        <f>F11*181119.55</f>
        <v>21154.763439999999</v>
      </c>
      <c r="H11" s="578">
        <v>0</v>
      </c>
      <c r="I11" s="243">
        <f>+G11</f>
        <v>21154.763439999999</v>
      </c>
      <c r="J11" s="482">
        <v>1</v>
      </c>
      <c r="K11" s="977">
        <f>I11*J11</f>
        <v>21154.763439999999</v>
      </c>
      <c r="L11" s="1066" t="s">
        <v>136</v>
      </c>
      <c r="M11" s="938"/>
    </row>
    <row r="12" spans="1:18" ht="40.5" customHeight="1" thickBot="1" x14ac:dyDescent="0.3">
      <c r="A12" s="1052"/>
      <c r="B12" s="180" t="s">
        <v>7</v>
      </c>
      <c r="C12" s="1051"/>
      <c r="D12" s="197"/>
      <c r="E12" s="188"/>
      <c r="F12" s="233"/>
      <c r="G12" s="34"/>
      <c r="H12" s="185"/>
      <c r="I12" s="185"/>
      <c r="J12" s="186"/>
      <c r="K12" s="34"/>
      <c r="L12" s="1067"/>
      <c r="M12" s="938"/>
    </row>
    <row r="13" spans="1:18" ht="17.25" customHeight="1" x14ac:dyDescent="0.25">
      <c r="A13" s="624" t="s">
        <v>209</v>
      </c>
      <c r="B13" s="625"/>
      <c r="C13" s="625"/>
      <c r="D13" s="625"/>
      <c r="E13" s="625"/>
      <c r="F13" s="625"/>
      <c r="G13" s="625"/>
      <c r="H13" s="625"/>
      <c r="I13" s="625"/>
      <c r="J13" s="625"/>
      <c r="K13" s="626"/>
      <c r="L13" s="625"/>
      <c r="M13" s="626"/>
    </row>
    <row r="14" spans="1:18" ht="31.5" customHeight="1" thickBot="1" x14ac:dyDescent="0.3">
      <c r="A14" s="627" t="s">
        <v>0</v>
      </c>
      <c r="B14" s="628" t="s">
        <v>1</v>
      </c>
      <c r="C14" s="628" t="s">
        <v>14</v>
      </c>
      <c r="D14" s="628" t="s">
        <v>32</v>
      </c>
      <c r="E14" s="628" t="s">
        <v>18</v>
      </c>
      <c r="F14" s="628" t="s">
        <v>30</v>
      </c>
      <c r="G14" s="628" t="s">
        <v>2</v>
      </c>
      <c r="H14" s="628" t="s">
        <v>3</v>
      </c>
      <c r="I14" s="628" t="s">
        <v>4</v>
      </c>
      <c r="J14" s="628" t="s">
        <v>29</v>
      </c>
      <c r="K14" s="629" t="s">
        <v>15</v>
      </c>
      <c r="L14" s="628" t="s">
        <v>18</v>
      </c>
      <c r="M14" s="629" t="s">
        <v>495</v>
      </c>
    </row>
    <row r="15" spans="1:18" ht="40.5" customHeight="1" x14ac:dyDescent="0.25">
      <c r="A15" s="1049" t="s">
        <v>210</v>
      </c>
      <c r="B15" s="940" t="s">
        <v>508</v>
      </c>
      <c r="C15" s="978" t="s">
        <v>499</v>
      </c>
      <c r="D15" s="757" t="s">
        <v>452</v>
      </c>
      <c r="E15" s="69"/>
      <c r="F15" s="760">
        <v>7.4599999999999996E-3</v>
      </c>
      <c r="G15" s="609">
        <f>F15*(153816*1.025)</f>
        <v>1176.1540439999999</v>
      </c>
      <c r="H15" s="473">
        <v>0</v>
      </c>
      <c r="I15" s="472">
        <f>G15</f>
        <v>1176.1540439999999</v>
      </c>
      <c r="J15" s="485">
        <v>1</v>
      </c>
      <c r="K15" s="486">
        <f>I15*J15</f>
        <v>1176.1540439999999</v>
      </c>
      <c r="L15" s="960" t="s">
        <v>136</v>
      </c>
      <c r="M15" s="1091" t="s">
        <v>646</v>
      </c>
    </row>
    <row r="16" spans="1:18" ht="39" customHeight="1" x14ac:dyDescent="0.25">
      <c r="A16" s="1050"/>
      <c r="B16" s="979" t="s">
        <v>36</v>
      </c>
      <c r="C16" s="979" t="s">
        <v>38</v>
      </c>
      <c r="D16" s="980" t="s">
        <v>514</v>
      </c>
      <c r="E16" s="70"/>
      <c r="F16" s="233"/>
      <c r="G16" s="34"/>
      <c r="H16" s="34"/>
      <c r="I16" s="34"/>
      <c r="J16" s="34"/>
      <c r="K16" s="187"/>
      <c r="L16" s="960" t="s">
        <v>136</v>
      </c>
      <c r="M16" s="1120"/>
    </row>
    <row r="17" spans="1:13" ht="32.25" customHeight="1" thickBot="1" x14ac:dyDescent="0.3">
      <c r="A17" s="279" t="s">
        <v>0</v>
      </c>
      <c r="B17" s="267" t="s">
        <v>1</v>
      </c>
      <c r="C17" s="280" t="s">
        <v>14</v>
      </c>
      <c r="D17" s="267" t="s">
        <v>17</v>
      </c>
      <c r="E17" s="268" t="s">
        <v>18</v>
      </c>
      <c r="F17" s="268" t="s">
        <v>30</v>
      </c>
      <c r="G17" s="268" t="s">
        <v>2</v>
      </c>
      <c r="H17" s="280" t="s">
        <v>3</v>
      </c>
      <c r="I17" s="267" t="s">
        <v>4</v>
      </c>
      <c r="J17" s="280" t="s">
        <v>5</v>
      </c>
      <c r="K17" s="281" t="s">
        <v>31</v>
      </c>
      <c r="L17" s="267" t="s">
        <v>18</v>
      </c>
      <c r="M17" s="281" t="s">
        <v>495</v>
      </c>
    </row>
    <row r="18" spans="1:13" ht="27" customHeight="1" x14ac:dyDescent="0.25">
      <c r="A18" s="1049" t="s">
        <v>202</v>
      </c>
      <c r="B18" s="1053" t="s">
        <v>8</v>
      </c>
      <c r="C18" s="242" t="s">
        <v>9</v>
      </c>
      <c r="D18" s="242" t="s">
        <v>34</v>
      </c>
      <c r="E18" s="60"/>
      <c r="F18" s="803">
        <v>0.185</v>
      </c>
      <c r="G18" s="234">
        <f>F18*131707.375</f>
        <v>24365.864375000001</v>
      </c>
      <c r="H18" s="61">
        <v>2124</v>
      </c>
      <c r="I18" s="245">
        <f>G18+H18</f>
        <v>26489.864375000001</v>
      </c>
      <c r="J18" s="481">
        <v>1</v>
      </c>
      <c r="K18" s="251">
        <f>I18*J18</f>
        <v>26489.864375000001</v>
      </c>
      <c r="L18" s="960" t="s">
        <v>136</v>
      </c>
      <c r="M18" s="1012" t="s">
        <v>541</v>
      </c>
    </row>
    <row r="19" spans="1:13" ht="29.25" customHeight="1" thickBot="1" x14ac:dyDescent="0.3">
      <c r="A19" s="1050"/>
      <c r="B19" s="1051"/>
      <c r="C19" s="179" t="s">
        <v>240</v>
      </c>
      <c r="D19" s="179" t="s">
        <v>35</v>
      </c>
      <c r="E19" s="7"/>
      <c r="F19" s="7"/>
      <c r="G19" s="185"/>
      <c r="H19" s="185"/>
      <c r="I19" s="186"/>
      <c r="J19" s="185"/>
      <c r="K19" s="192"/>
      <c r="L19" s="960" t="s">
        <v>136</v>
      </c>
      <c r="M19" s="942" t="s">
        <v>530</v>
      </c>
    </row>
    <row r="20" spans="1:13" ht="18.75" customHeight="1" x14ac:dyDescent="0.25">
      <c r="A20" s="635" t="s">
        <v>201</v>
      </c>
      <c r="B20" s="206"/>
      <c r="C20" s="206"/>
      <c r="D20" s="206"/>
      <c r="E20" s="206"/>
      <c r="F20" s="206"/>
      <c r="G20" s="206"/>
      <c r="H20" s="206"/>
      <c r="I20" s="206"/>
      <c r="J20" s="206"/>
      <c r="K20" s="210"/>
      <c r="L20" s="206"/>
      <c r="M20" s="210"/>
    </row>
    <row r="21" spans="1:13" ht="32.25" customHeight="1" thickBot="1" x14ac:dyDescent="0.3">
      <c r="A21" s="271" t="s">
        <v>0</v>
      </c>
      <c r="B21" s="266" t="s">
        <v>1</v>
      </c>
      <c r="C21" s="272" t="s">
        <v>14</v>
      </c>
      <c r="D21" s="266" t="s">
        <v>17</v>
      </c>
      <c r="E21" s="266" t="s">
        <v>18</v>
      </c>
      <c r="F21" s="266" t="s">
        <v>30</v>
      </c>
      <c r="G21" s="266" t="s">
        <v>2</v>
      </c>
      <c r="H21" s="272" t="s">
        <v>3</v>
      </c>
      <c r="I21" s="266" t="s">
        <v>4</v>
      </c>
      <c r="J21" s="272" t="s">
        <v>5</v>
      </c>
      <c r="K21" s="273" t="s">
        <v>31</v>
      </c>
      <c r="L21" s="266" t="s">
        <v>18</v>
      </c>
      <c r="M21" s="273" t="s">
        <v>495</v>
      </c>
    </row>
    <row r="22" spans="1:13" ht="28.5" customHeight="1" x14ac:dyDescent="0.25">
      <c r="A22" s="223" t="s">
        <v>203</v>
      </c>
      <c r="B22" s="1053" t="s">
        <v>10</v>
      </c>
      <c r="C22" s="462" t="s">
        <v>19</v>
      </c>
      <c r="D22" s="103" t="s">
        <v>245</v>
      </c>
      <c r="E22" s="247"/>
      <c r="F22" s="62">
        <v>0</v>
      </c>
      <c r="G22" s="62">
        <v>0</v>
      </c>
      <c r="H22" s="56">
        <f>21.42*171</f>
        <v>3662.82</v>
      </c>
      <c r="I22" s="57">
        <f>H22+G22</f>
        <v>3662.82</v>
      </c>
      <c r="J22" s="481">
        <v>1</v>
      </c>
      <c r="K22" s="58">
        <f>I22*J22</f>
        <v>3662.82</v>
      </c>
      <c r="L22" s="960" t="s">
        <v>136</v>
      </c>
      <c r="M22" s="1039" t="s">
        <v>548</v>
      </c>
    </row>
    <row r="23" spans="1:13" ht="30.75" customHeight="1" thickBot="1" x14ac:dyDescent="0.3">
      <c r="A23" s="220"/>
      <c r="B23" s="1054"/>
      <c r="C23" s="463" t="s">
        <v>11</v>
      </c>
      <c r="D23" s="196" t="s">
        <v>246</v>
      </c>
      <c r="E23" s="248"/>
      <c r="F23" s="248"/>
      <c r="G23" s="189"/>
      <c r="H23" s="190"/>
      <c r="I23" s="249"/>
      <c r="J23" s="189"/>
      <c r="K23" s="437"/>
      <c r="L23" s="961" t="s">
        <v>136</v>
      </c>
      <c r="M23" s="1040"/>
    </row>
    <row r="24" spans="1:13" ht="7.5" customHeight="1" thickBot="1" x14ac:dyDescent="0.3">
      <c r="B24" s="536"/>
      <c r="G24" s="911" t="s">
        <v>432</v>
      </c>
    </row>
    <row r="25" spans="1:13" ht="15.75" hidden="1" thickBot="1" x14ac:dyDescent="0.3">
      <c r="A25" s="178"/>
      <c r="B25" s="1045" t="s">
        <v>12</v>
      </c>
      <c r="C25" s="218" t="s">
        <v>13</v>
      </c>
      <c r="D25" s="253">
        <v>0</v>
      </c>
      <c r="E25" s="182"/>
      <c r="F25" s="182"/>
      <c r="G25" s="839">
        <v>35328</v>
      </c>
    </row>
    <row r="26" spans="1:13" ht="15.75" thickBot="1" x14ac:dyDescent="0.3">
      <c r="A26" s="178"/>
      <c r="B26" s="1046"/>
      <c r="C26" s="460" t="s">
        <v>20</v>
      </c>
      <c r="D26" s="535">
        <v>21154.763439999999</v>
      </c>
      <c r="E26" s="182"/>
      <c r="F26" s="182"/>
      <c r="G26" s="912">
        <v>23042</v>
      </c>
      <c r="H26" s="816"/>
      <c r="I26" s="816" t="s">
        <v>439</v>
      </c>
      <c r="J26" s="816"/>
    </row>
    <row r="27" spans="1:13" ht="15.75" thickBot="1" x14ac:dyDescent="0.3">
      <c r="A27" s="178"/>
      <c r="B27" s="1046"/>
      <c r="C27" s="217" t="s">
        <v>24</v>
      </c>
      <c r="D27" s="253">
        <v>3409.7772150000001</v>
      </c>
      <c r="E27" s="182"/>
      <c r="F27" s="182"/>
      <c r="G27" s="872">
        <v>3775</v>
      </c>
    </row>
    <row r="28" spans="1:13" ht="15.75" thickBot="1" x14ac:dyDescent="0.3">
      <c r="A28" s="178"/>
      <c r="B28" s="1046"/>
      <c r="C28" s="237" t="s">
        <v>21</v>
      </c>
      <c r="D28" s="255">
        <v>30152.684375000001</v>
      </c>
      <c r="E28" s="183"/>
      <c r="F28" s="183"/>
      <c r="G28" s="872">
        <v>32478.04</v>
      </c>
    </row>
    <row r="29" spans="1:13" hidden="1" x14ac:dyDescent="0.25">
      <c r="A29" s="178"/>
      <c r="B29" s="1046"/>
      <c r="C29" s="238" t="s">
        <v>25</v>
      </c>
      <c r="D29" s="256">
        <v>26489.864375000001</v>
      </c>
      <c r="E29" s="183"/>
      <c r="F29" s="183"/>
      <c r="G29" s="846">
        <v>28474</v>
      </c>
    </row>
    <row r="30" spans="1:13" ht="15.75" hidden="1" thickBot="1" x14ac:dyDescent="0.3">
      <c r="A30" s="178"/>
      <c r="B30" s="1046"/>
      <c r="C30" s="239" t="s">
        <v>26</v>
      </c>
      <c r="D30" s="257">
        <v>3662.82</v>
      </c>
      <c r="E30" s="183"/>
      <c r="F30" s="183"/>
      <c r="G30" s="846">
        <v>4004.04</v>
      </c>
    </row>
    <row r="31" spans="1:13" ht="15.75" thickBot="1" x14ac:dyDescent="0.3">
      <c r="A31" s="178"/>
      <c r="B31" s="1086"/>
      <c r="C31" s="736" t="s">
        <v>23</v>
      </c>
      <c r="D31" s="737">
        <v>54717.225030000001</v>
      </c>
      <c r="E31" s="183"/>
      <c r="F31" s="183"/>
      <c r="G31" s="874">
        <f>SUM(G26:G28)</f>
        <v>59295.040000000001</v>
      </c>
    </row>
    <row r="32" spans="1:13" x14ac:dyDescent="0.25">
      <c r="B32" s="216"/>
      <c r="D32" s="54"/>
      <c r="E32" s="214">
        <v>24.19</v>
      </c>
      <c r="F32" s="214"/>
    </row>
    <row r="33" spans="2:6" x14ac:dyDescent="0.25">
      <c r="B33" s="216"/>
      <c r="E33" s="215">
        <v>18</v>
      </c>
      <c r="F33" s="215"/>
    </row>
  </sheetData>
  <mergeCells count="11">
    <mergeCell ref="M22:M23"/>
    <mergeCell ref="L11:L12"/>
    <mergeCell ref="C11:C12"/>
    <mergeCell ref="A5:A6"/>
    <mergeCell ref="A11:A12"/>
    <mergeCell ref="M15:M16"/>
    <mergeCell ref="B25:B31"/>
    <mergeCell ref="B22:B23"/>
    <mergeCell ref="A18:A19"/>
    <mergeCell ref="B18:B19"/>
    <mergeCell ref="A15:A16"/>
  </mergeCells>
  <conditionalFormatting sqref="L5:L8">
    <cfRule type="cellIs" dxfId="191" priority="17" operator="equal">
      <formula>$P$7</formula>
    </cfRule>
    <cfRule type="cellIs" dxfId="190" priority="18" operator="equal">
      <formula>$P$6</formula>
    </cfRule>
    <cfRule type="cellIs" dxfId="189" priority="19" operator="equal">
      <formula>$P$5</formula>
    </cfRule>
    <cfRule type="cellIs" dxfId="188" priority="20" operator="notEqual">
      <formula>$P$4</formula>
    </cfRule>
  </conditionalFormatting>
  <conditionalFormatting sqref="L11">
    <cfRule type="cellIs" dxfId="187" priority="13" operator="equal">
      <formula>$P$7</formula>
    </cfRule>
    <cfRule type="cellIs" dxfId="186" priority="14" operator="equal">
      <formula>$P$6</formula>
    </cfRule>
    <cfRule type="cellIs" dxfId="185" priority="15" operator="equal">
      <formula>$P$5</formula>
    </cfRule>
    <cfRule type="cellIs" dxfId="184" priority="16" operator="notEqual">
      <formula>$P$4</formula>
    </cfRule>
  </conditionalFormatting>
  <conditionalFormatting sqref="L18:L19">
    <cfRule type="cellIs" dxfId="183" priority="9" operator="equal">
      <formula>$P$7</formula>
    </cfRule>
    <cfRule type="cellIs" dxfId="182" priority="10" operator="equal">
      <formula>$P$6</formula>
    </cfRule>
    <cfRule type="cellIs" dxfId="181" priority="11" operator="equal">
      <formula>$P$5</formula>
    </cfRule>
    <cfRule type="cellIs" dxfId="180" priority="12" operator="notEqual">
      <formula>$P$4</formula>
    </cfRule>
  </conditionalFormatting>
  <conditionalFormatting sqref="L22:L23">
    <cfRule type="cellIs" dxfId="179" priority="5" operator="equal">
      <formula>$P$7</formula>
    </cfRule>
    <cfRule type="cellIs" dxfId="178" priority="6" operator="equal">
      <formula>$P$6</formula>
    </cfRule>
    <cfRule type="cellIs" dxfId="177" priority="7" operator="equal">
      <formula>$P$5</formula>
    </cfRule>
    <cfRule type="cellIs" dxfId="176" priority="8" operator="notEqual">
      <formula>$P$4</formula>
    </cfRule>
  </conditionalFormatting>
  <conditionalFormatting sqref="L15:L16">
    <cfRule type="cellIs" dxfId="175" priority="1" operator="equal">
      <formula>$P$7</formula>
    </cfRule>
    <cfRule type="cellIs" dxfId="174" priority="2" operator="equal">
      <formula>$P$6</formula>
    </cfRule>
    <cfRule type="cellIs" dxfId="173" priority="3" operator="equal">
      <formula>$P$5</formula>
    </cfRule>
    <cfRule type="cellIs" dxfId="172" priority="4" operator="notEqual">
      <formula>$P$4</formula>
    </cfRule>
  </conditionalFormatting>
  <dataValidations count="1">
    <dataValidation type="list" allowBlank="1" showInputMessage="1" showErrorMessage="1" sqref="L5:L8 L11 L18:L19 L22:L23 L15:L16" xr:uid="{77039CBD-433D-4784-83A8-AA4514E46624}">
      <formula1>$P$4:$P$7</formula1>
    </dataValidation>
  </dataValidations>
  <pageMargins left="0.7" right="0.7" top="0.75" bottom="0.75" header="0.3" footer="0.3"/>
  <pageSetup paperSize="8"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R83"/>
  <sheetViews>
    <sheetView topLeftCell="A10" zoomScaleNormal="100" workbookViewId="0">
      <selection activeCell="D41" sqref="D41"/>
    </sheetView>
  </sheetViews>
  <sheetFormatPr defaultRowHeight="15" x14ac:dyDescent="0.25"/>
  <cols>
    <col min="1" max="1" width="19.42578125" style="176" customWidth="1"/>
    <col min="2" max="2" width="46.140625" style="176" customWidth="1"/>
    <col min="3" max="3" width="41.28515625" style="176" customWidth="1"/>
    <col min="4" max="4" width="39.5703125" style="176" customWidth="1"/>
    <col min="5" max="6" width="8.140625" style="176" hidden="1" customWidth="1"/>
    <col min="7" max="7" width="7.85546875" style="176" hidden="1" customWidth="1"/>
    <col min="8" max="8" width="10" style="176" hidden="1" customWidth="1"/>
    <col min="9" max="9" width="6.85546875" style="176" hidden="1" customWidth="1"/>
    <col min="10" max="10" width="6.7109375" style="176" hidden="1" customWidth="1"/>
    <col min="11" max="11" width="9.140625" style="176" hidden="1" customWidth="1"/>
    <col min="12" max="12" width="9.140625" style="176"/>
    <col min="13" max="13" width="35.28515625" style="176" customWidth="1"/>
    <col min="14" max="16" width="9.140625" style="176"/>
    <col min="17" max="18" width="0" style="176" hidden="1" customWidth="1"/>
    <col min="19" max="16384" width="9.140625" style="176"/>
  </cols>
  <sheetData>
    <row r="1" spans="1:18" ht="18" x14ac:dyDescent="0.25">
      <c r="A1" s="735" t="s">
        <v>564</v>
      </c>
      <c r="J1" s="4"/>
      <c r="K1" s="573" t="s">
        <v>298</v>
      </c>
      <c r="M1" s="1014">
        <v>43586</v>
      </c>
    </row>
    <row r="2" spans="1:18" ht="3.75" customHeight="1" thickBot="1" x14ac:dyDescent="0.3"/>
    <row r="3" spans="1:18" ht="15.75" x14ac:dyDescent="0.25">
      <c r="A3" s="293" t="s">
        <v>197</v>
      </c>
      <c r="B3" s="294"/>
      <c r="C3" s="294"/>
      <c r="D3" s="294"/>
      <c r="E3" s="294"/>
      <c r="F3" s="294"/>
      <c r="G3" s="294"/>
      <c r="H3" s="294"/>
      <c r="I3" s="294"/>
      <c r="J3" s="294"/>
      <c r="K3" s="296"/>
      <c r="L3" s="294"/>
      <c r="M3" s="296"/>
    </row>
    <row r="4" spans="1:18" ht="32.25"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Q4" s="945"/>
      <c r="R4" s="176" t="s">
        <v>136</v>
      </c>
    </row>
    <row r="5" spans="1:18" ht="28.5" customHeight="1" x14ac:dyDescent="0.25">
      <c r="A5" s="1049" t="s">
        <v>205</v>
      </c>
      <c r="B5" s="144" t="s">
        <v>412</v>
      </c>
      <c r="C5" s="147" t="s">
        <v>42</v>
      </c>
      <c r="D5" s="415" t="s">
        <v>46</v>
      </c>
      <c r="E5" s="72"/>
      <c r="F5" s="742">
        <v>1.4999999999999999E-2</v>
      </c>
      <c r="G5" s="488">
        <f>F5*157787.475</f>
        <v>2366.8121249999999</v>
      </c>
      <c r="H5" s="487">
        <v>712</v>
      </c>
      <c r="I5" s="489">
        <f>G5+H5</f>
        <v>3078.8121249999999</v>
      </c>
      <c r="J5" s="592">
        <v>50</v>
      </c>
      <c r="K5" s="491">
        <f>$I$5*$J$5/100</f>
        <v>1539.4060624999997</v>
      </c>
      <c r="L5" s="960" t="s">
        <v>136</v>
      </c>
      <c r="M5" s="941" t="s">
        <v>632</v>
      </c>
      <c r="N5" s="950"/>
      <c r="Q5" s="946"/>
      <c r="R5" s="176" t="s">
        <v>496</v>
      </c>
    </row>
    <row r="6" spans="1:18" ht="42" customHeight="1" x14ac:dyDescent="0.25">
      <c r="A6" s="1050"/>
      <c r="B6" s="144" t="s">
        <v>40</v>
      </c>
      <c r="C6" s="144" t="s">
        <v>45</v>
      </c>
      <c r="D6" s="144" t="s">
        <v>366</v>
      </c>
      <c r="E6" s="8"/>
      <c r="F6" s="185"/>
      <c r="G6" s="185"/>
      <c r="H6" s="185"/>
      <c r="I6" s="185"/>
      <c r="J6" s="185"/>
      <c r="K6" s="187"/>
      <c r="L6" s="960" t="s">
        <v>136</v>
      </c>
      <c r="M6" s="1017" t="s">
        <v>622</v>
      </c>
      <c r="N6" s="950"/>
      <c r="Q6" s="947"/>
      <c r="R6" s="176" t="s">
        <v>497</v>
      </c>
    </row>
    <row r="7" spans="1:18" ht="28.5" customHeight="1" x14ac:dyDescent="0.25">
      <c r="A7" s="223"/>
      <c r="B7" s="413" t="s">
        <v>41</v>
      </c>
      <c r="C7" s="413" t="s">
        <v>43</v>
      </c>
      <c r="D7" s="717" t="s">
        <v>333</v>
      </c>
      <c r="E7" s="7"/>
      <c r="F7" s="7"/>
      <c r="G7" s="185"/>
      <c r="H7" s="186"/>
      <c r="I7" s="185"/>
      <c r="J7" s="186"/>
      <c r="K7" s="187"/>
      <c r="L7" s="960" t="s">
        <v>136</v>
      </c>
      <c r="M7" s="988" t="s">
        <v>623</v>
      </c>
      <c r="N7" s="950"/>
      <c r="Q7" s="948"/>
      <c r="R7" s="176" t="s">
        <v>498</v>
      </c>
    </row>
    <row r="8" spans="1:18" ht="29.25" customHeight="1" thickBot="1" x14ac:dyDescent="0.3">
      <c r="A8" s="223"/>
      <c r="B8" s="144" t="s">
        <v>37</v>
      </c>
      <c r="C8" s="144" t="s">
        <v>44</v>
      </c>
      <c r="D8" s="336" t="s">
        <v>654</v>
      </c>
      <c r="E8" s="7"/>
      <c r="F8" s="7"/>
      <c r="G8" s="185"/>
      <c r="H8" s="186"/>
      <c r="I8" s="185"/>
      <c r="J8" s="186"/>
      <c r="K8" s="187"/>
      <c r="L8" s="960" t="s">
        <v>136</v>
      </c>
      <c r="M8" s="988" t="s">
        <v>627</v>
      </c>
    </row>
    <row r="9" spans="1:18" ht="18" customHeight="1" x14ac:dyDescent="0.25">
      <c r="A9" s="207" t="s">
        <v>198</v>
      </c>
      <c r="B9" s="208"/>
      <c r="C9" s="208"/>
      <c r="D9" s="208"/>
      <c r="E9" s="208"/>
      <c r="F9" s="208"/>
      <c r="G9" s="208"/>
      <c r="H9" s="208"/>
      <c r="I9" s="208"/>
      <c r="J9" s="208"/>
      <c r="K9" s="211"/>
      <c r="L9" s="691"/>
      <c r="M9" s="692"/>
    </row>
    <row r="10" spans="1:18" ht="31.5"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8" ht="39.75" customHeight="1" x14ac:dyDescent="0.25">
      <c r="A11" s="1050" t="s">
        <v>204</v>
      </c>
      <c r="B11" s="180" t="s">
        <v>6</v>
      </c>
      <c r="C11" s="1051" t="s">
        <v>27</v>
      </c>
      <c r="D11" s="570" t="s">
        <v>254</v>
      </c>
      <c r="E11" s="7"/>
      <c r="F11" s="607">
        <v>0</v>
      </c>
      <c r="G11" s="597">
        <v>0</v>
      </c>
      <c r="H11" s="607">
        <v>0</v>
      </c>
      <c r="I11" s="598">
        <f>G11</f>
        <v>0</v>
      </c>
      <c r="J11" s="599">
        <v>100</v>
      </c>
      <c r="K11" s="600">
        <f>$I$17</f>
        <v>0</v>
      </c>
      <c r="L11" s="1121" t="s">
        <v>136</v>
      </c>
      <c r="M11" s="938"/>
    </row>
    <row r="12" spans="1:18" ht="42" customHeight="1" thickBot="1" x14ac:dyDescent="0.3">
      <c r="A12" s="1050"/>
      <c r="B12" s="180" t="s">
        <v>7</v>
      </c>
      <c r="C12" s="1051"/>
      <c r="D12" s="197"/>
      <c r="E12" s="188"/>
      <c r="F12" s="233"/>
      <c r="G12" s="34"/>
      <c r="H12" s="185"/>
      <c r="I12" s="185"/>
      <c r="J12" s="186"/>
      <c r="K12" s="187"/>
      <c r="L12" s="1122"/>
      <c r="M12" s="938"/>
    </row>
    <row r="13" spans="1:18" ht="18" customHeight="1" x14ac:dyDescent="0.25">
      <c r="A13" s="792" t="s">
        <v>209</v>
      </c>
      <c r="B13" s="625"/>
      <c r="C13" s="625"/>
      <c r="D13" s="625"/>
      <c r="E13" s="625"/>
      <c r="F13" s="625"/>
      <c r="G13" s="625"/>
      <c r="H13" s="625"/>
      <c r="I13" s="625"/>
      <c r="J13" s="625"/>
      <c r="K13" s="625"/>
      <c r="L13" s="625"/>
      <c r="M13" s="626"/>
    </row>
    <row r="14" spans="1:18" ht="31.5" customHeight="1" thickBot="1" x14ac:dyDescent="0.3">
      <c r="A14" s="627" t="s">
        <v>0</v>
      </c>
      <c r="B14" s="628" t="s">
        <v>1</v>
      </c>
      <c r="C14" s="628" t="s">
        <v>14</v>
      </c>
      <c r="D14" s="628" t="s">
        <v>32</v>
      </c>
      <c r="E14" s="628" t="s">
        <v>32</v>
      </c>
      <c r="F14" s="628" t="s">
        <v>32</v>
      </c>
      <c r="G14" s="628" t="s">
        <v>32</v>
      </c>
      <c r="H14" s="628" t="s">
        <v>32</v>
      </c>
      <c r="I14" s="628" t="s">
        <v>32</v>
      </c>
      <c r="J14" s="628" t="s">
        <v>32</v>
      </c>
      <c r="K14" s="628" t="s">
        <v>32</v>
      </c>
      <c r="L14" s="628" t="s">
        <v>18</v>
      </c>
      <c r="M14" s="629" t="s">
        <v>495</v>
      </c>
    </row>
    <row r="15" spans="1:18" ht="40.5" customHeight="1" thickBot="1" x14ac:dyDescent="0.3">
      <c r="A15" s="1049" t="s">
        <v>210</v>
      </c>
      <c r="B15" s="940" t="s">
        <v>507</v>
      </c>
      <c r="C15" s="978" t="s">
        <v>499</v>
      </c>
      <c r="D15" s="757" t="s">
        <v>452</v>
      </c>
      <c r="E15" s="203"/>
      <c r="F15" s="981"/>
      <c r="G15" s="982"/>
      <c r="H15" s="983"/>
      <c r="I15" s="982"/>
      <c r="J15" s="984"/>
      <c r="K15" s="985"/>
      <c r="L15" s="960" t="s">
        <v>136</v>
      </c>
      <c r="M15" s="1091" t="s">
        <v>655</v>
      </c>
    </row>
    <row r="16" spans="1:18" ht="26.25" customHeight="1" thickBot="1" x14ac:dyDescent="0.3">
      <c r="A16" s="1050"/>
      <c r="B16" s="979" t="s">
        <v>36</v>
      </c>
      <c r="C16" s="979" t="s">
        <v>38</v>
      </c>
      <c r="D16" s="980" t="s">
        <v>514</v>
      </c>
      <c r="E16" s="203"/>
      <c r="F16" s="981"/>
      <c r="G16" s="982"/>
      <c r="H16" s="983"/>
      <c r="I16" s="982"/>
      <c r="J16" s="984"/>
      <c r="K16" s="985"/>
      <c r="L16" s="960" t="s">
        <v>136</v>
      </c>
      <c r="M16" s="1092"/>
    </row>
    <row r="17" spans="1:13" ht="17.25" customHeight="1" thickBot="1" x14ac:dyDescent="0.3">
      <c r="A17" s="36" t="s">
        <v>199</v>
      </c>
      <c r="B17" s="23"/>
      <c r="C17" s="24"/>
      <c r="D17" s="25"/>
      <c r="E17" s="26"/>
      <c r="F17" s="26"/>
      <c r="G17" s="27"/>
      <c r="H17" s="27"/>
      <c r="I17" s="27"/>
      <c r="J17" s="27"/>
      <c r="K17" s="28"/>
      <c r="L17" s="25"/>
      <c r="M17" s="944"/>
    </row>
    <row r="18" spans="1:13" ht="17.25" customHeight="1" x14ac:dyDescent="0.25">
      <c r="A18" s="193" t="s">
        <v>200</v>
      </c>
      <c r="B18" s="194"/>
      <c r="C18" s="194"/>
      <c r="D18" s="194"/>
      <c r="E18" s="194"/>
      <c r="F18" s="194"/>
      <c r="G18" s="194"/>
      <c r="H18" s="194"/>
      <c r="I18" s="194"/>
      <c r="J18" s="194"/>
      <c r="K18" s="195"/>
      <c r="L18" s="194"/>
      <c r="M18" s="195"/>
    </row>
    <row r="19" spans="1:13" ht="35.25" customHeight="1" thickBot="1" x14ac:dyDescent="0.3">
      <c r="A19" s="279" t="s">
        <v>0</v>
      </c>
      <c r="B19" s="267" t="s">
        <v>1</v>
      </c>
      <c r="C19" s="280" t="s">
        <v>14</v>
      </c>
      <c r="D19" s="267" t="s">
        <v>17</v>
      </c>
      <c r="E19" s="268" t="s">
        <v>18</v>
      </c>
      <c r="F19" s="268" t="s">
        <v>30</v>
      </c>
      <c r="G19" s="268" t="s">
        <v>2</v>
      </c>
      <c r="H19" s="280" t="s">
        <v>3</v>
      </c>
      <c r="I19" s="267" t="s">
        <v>4</v>
      </c>
      <c r="J19" s="280" t="s">
        <v>5</v>
      </c>
      <c r="K19" s="281" t="s">
        <v>31</v>
      </c>
      <c r="L19" s="267" t="s">
        <v>18</v>
      </c>
      <c r="M19" s="281" t="s">
        <v>495</v>
      </c>
    </row>
    <row r="20" spans="1:13" ht="27.75" customHeight="1" x14ac:dyDescent="0.25">
      <c r="A20" s="1049" t="s">
        <v>202</v>
      </c>
      <c r="B20" s="1053" t="s">
        <v>8</v>
      </c>
      <c r="C20" s="242" t="s">
        <v>9</v>
      </c>
      <c r="D20" s="179" t="s">
        <v>34</v>
      </c>
      <c r="E20" s="60"/>
      <c r="F20" s="603">
        <v>4.8999999999999998E-3</v>
      </c>
      <c r="G20" s="472">
        <f>F20*131707.375</f>
        <v>645.36613749999992</v>
      </c>
      <c r="H20" s="473">
        <v>36</v>
      </c>
      <c r="I20" s="474">
        <f>G20+H20</f>
        <v>681.36613749999992</v>
      </c>
      <c r="J20" s="593">
        <v>100</v>
      </c>
      <c r="K20" s="476">
        <f>$I$20</f>
        <v>681.36613749999992</v>
      </c>
      <c r="L20" s="960" t="s">
        <v>136</v>
      </c>
      <c r="M20" s="1012" t="s">
        <v>542</v>
      </c>
    </row>
    <row r="21" spans="1:13" ht="28.5" customHeight="1" thickBot="1" x14ac:dyDescent="0.3">
      <c r="A21" s="1050"/>
      <c r="B21" s="1051"/>
      <c r="C21" s="179" t="s">
        <v>239</v>
      </c>
      <c r="D21" s="179" t="s">
        <v>35</v>
      </c>
      <c r="E21" s="7"/>
      <c r="F21" s="7"/>
      <c r="G21" s="185"/>
      <c r="H21" s="185"/>
      <c r="I21" s="186"/>
      <c r="J21" s="185"/>
      <c r="K21" s="192"/>
      <c r="L21" s="960" t="s">
        <v>136</v>
      </c>
      <c r="M21" s="942" t="s">
        <v>531</v>
      </c>
    </row>
    <row r="22" spans="1:13" ht="17.25" customHeight="1" x14ac:dyDescent="0.25">
      <c r="A22" s="205" t="s">
        <v>201</v>
      </c>
      <c r="B22" s="206"/>
      <c r="C22" s="206"/>
      <c r="D22" s="206"/>
      <c r="E22" s="206"/>
      <c r="F22" s="206"/>
      <c r="G22" s="206"/>
      <c r="H22" s="206"/>
      <c r="I22" s="206"/>
      <c r="J22" s="206"/>
      <c r="K22" s="210"/>
      <c r="L22" s="206"/>
      <c r="M22" s="210"/>
    </row>
    <row r="23" spans="1:13" ht="30" customHeight="1" thickBot="1" x14ac:dyDescent="0.3">
      <c r="A23" s="271" t="s">
        <v>0</v>
      </c>
      <c r="B23" s="266" t="s">
        <v>1</v>
      </c>
      <c r="C23" s="272" t="s">
        <v>14</v>
      </c>
      <c r="D23" s="266" t="s">
        <v>17</v>
      </c>
      <c r="E23" s="266" t="s">
        <v>18</v>
      </c>
      <c r="F23" s="266" t="s">
        <v>30</v>
      </c>
      <c r="G23" s="266" t="s">
        <v>2</v>
      </c>
      <c r="H23" s="272" t="s">
        <v>3</v>
      </c>
      <c r="I23" s="266" t="s">
        <v>4</v>
      </c>
      <c r="J23" s="272" t="s">
        <v>5</v>
      </c>
      <c r="K23" s="273" t="s">
        <v>31</v>
      </c>
      <c r="L23" s="266" t="s">
        <v>18</v>
      </c>
      <c r="M23" s="273" t="s">
        <v>495</v>
      </c>
    </row>
    <row r="24" spans="1:13" ht="27.75" customHeight="1" x14ac:dyDescent="0.25">
      <c r="A24" s="1049" t="s">
        <v>203</v>
      </c>
      <c r="B24" s="1053" t="s">
        <v>10</v>
      </c>
      <c r="C24" s="462" t="s">
        <v>19</v>
      </c>
      <c r="D24" s="103" t="s">
        <v>245</v>
      </c>
      <c r="E24" s="247"/>
      <c r="F24" s="487">
        <v>0</v>
      </c>
      <c r="G24" s="487">
        <v>0</v>
      </c>
      <c r="H24" s="594">
        <f>1*21.42</f>
        <v>21.42</v>
      </c>
      <c r="I24" s="595">
        <f>H24</f>
        <v>21.42</v>
      </c>
      <c r="J24" s="593">
        <v>100</v>
      </c>
      <c r="K24" s="973">
        <f>$I$24</f>
        <v>21.42</v>
      </c>
      <c r="L24" s="964" t="s">
        <v>136</v>
      </c>
      <c r="M24" s="1039" t="s">
        <v>548</v>
      </c>
    </row>
    <row r="25" spans="1:13" ht="25.5" customHeight="1" thickBot="1" x14ac:dyDescent="0.3">
      <c r="A25" s="1052"/>
      <c r="B25" s="1054"/>
      <c r="C25" s="463" t="s">
        <v>11</v>
      </c>
      <c r="D25" s="196" t="s">
        <v>246</v>
      </c>
      <c r="E25" s="248"/>
      <c r="F25" s="248"/>
      <c r="G25" s="189"/>
      <c r="H25" s="190"/>
      <c r="I25" s="249"/>
      <c r="J25" s="190"/>
      <c r="K25" s="437"/>
      <c r="L25" s="961" t="s">
        <v>136</v>
      </c>
      <c r="M25" s="1040"/>
    </row>
    <row r="26" spans="1:13" ht="3.75" customHeight="1" thickBot="1" x14ac:dyDescent="0.3">
      <c r="G26" s="579" t="s">
        <v>432</v>
      </c>
    </row>
    <row r="27" spans="1:13" ht="15.75" thickBot="1" x14ac:dyDescent="0.3">
      <c r="A27" s="178"/>
      <c r="B27" s="1045" t="s">
        <v>12</v>
      </c>
      <c r="C27" s="218" t="s">
        <v>13</v>
      </c>
      <c r="D27" s="464"/>
      <c r="E27" s="182"/>
      <c r="F27" s="182"/>
      <c r="G27" s="878"/>
      <c r="I27" s="816" t="s">
        <v>304</v>
      </c>
    </row>
    <row r="28" spans="1:13" ht="15.75" thickBot="1" x14ac:dyDescent="0.3">
      <c r="A28" s="178"/>
      <c r="B28" s="1046"/>
      <c r="C28" s="217" t="s">
        <v>20</v>
      </c>
      <c r="D28" s="465">
        <v>0</v>
      </c>
      <c r="E28" s="182"/>
      <c r="F28" s="182"/>
      <c r="G28" s="872">
        <v>0</v>
      </c>
      <c r="H28" s="816"/>
      <c r="I28" s="816"/>
      <c r="J28" s="816"/>
      <c r="K28" s="816"/>
    </row>
    <row r="29" spans="1:13" ht="15.75" thickBot="1" x14ac:dyDescent="0.3">
      <c r="A29" s="178"/>
      <c r="B29" s="1046"/>
      <c r="C29" s="217" t="s">
        <v>24</v>
      </c>
      <c r="D29" s="464">
        <v>1539.4060624999997</v>
      </c>
      <c r="E29" s="182"/>
      <c r="F29" s="182"/>
      <c r="G29" s="846">
        <v>648.5</v>
      </c>
    </row>
    <row r="30" spans="1:13" ht="15.75" thickBot="1" x14ac:dyDescent="0.3">
      <c r="A30" s="178"/>
      <c r="B30" s="1046"/>
      <c r="C30" s="1146" t="s">
        <v>21</v>
      </c>
      <c r="D30" s="1148">
        <v>702.78613749999988</v>
      </c>
      <c r="E30" s="183"/>
      <c r="F30" s="183"/>
      <c r="G30" s="909">
        <v>687.88</v>
      </c>
    </row>
    <row r="31" spans="1:13" hidden="1" x14ac:dyDescent="0.25">
      <c r="A31" s="178"/>
      <c r="B31" s="1047"/>
      <c r="C31" s="238" t="s">
        <v>25</v>
      </c>
      <c r="D31" s="467">
        <v>681.36613749999992</v>
      </c>
      <c r="E31" s="183"/>
      <c r="F31" s="183"/>
      <c r="G31" s="891">
        <v>666</v>
      </c>
    </row>
    <row r="32" spans="1:13" ht="15.75" hidden="1" thickBot="1" x14ac:dyDescent="0.3">
      <c r="A32" s="178"/>
      <c r="B32" s="1047"/>
      <c r="C32" s="239" t="s">
        <v>26</v>
      </c>
      <c r="D32" s="468">
        <v>21.42</v>
      </c>
      <c r="E32" s="183"/>
      <c r="F32" s="183"/>
      <c r="G32" s="891">
        <v>21.88</v>
      </c>
    </row>
    <row r="33" spans="1:7" ht="15.75" thickBot="1" x14ac:dyDescent="0.3">
      <c r="A33" s="178"/>
      <c r="B33" s="1048"/>
      <c r="C33" s="736" t="s">
        <v>23</v>
      </c>
      <c r="D33" s="737">
        <v>2242.1921999999995</v>
      </c>
      <c r="E33" s="183"/>
      <c r="F33" s="183"/>
      <c r="G33" s="913">
        <v>1336.38</v>
      </c>
    </row>
    <row r="34" spans="1:7" x14ac:dyDescent="0.25">
      <c r="B34" s="216"/>
      <c r="D34" s="54"/>
      <c r="E34" s="214">
        <v>24.19</v>
      </c>
      <c r="F34" s="214"/>
    </row>
    <row r="35" spans="1:7" x14ac:dyDescent="0.25">
      <c r="B35" s="216"/>
      <c r="D35" s="250"/>
      <c r="E35" s="215">
        <v>18</v>
      </c>
      <c r="F35" s="215"/>
    </row>
    <row r="36" spans="1:7" s="178" customFormat="1" x14ac:dyDescent="0.25"/>
    <row r="37" spans="1:7" s="178" customFormat="1" x14ac:dyDescent="0.25"/>
    <row r="38" spans="1:7" s="178" customFormat="1" x14ac:dyDescent="0.25"/>
    <row r="39" spans="1:7" s="178" customFormat="1" x14ac:dyDescent="0.25"/>
    <row r="40" spans="1:7" s="178" customFormat="1" x14ac:dyDescent="0.25"/>
    <row r="41" spans="1:7" s="178" customFormat="1" x14ac:dyDescent="0.25"/>
    <row r="42" spans="1:7" s="178" customFormat="1" x14ac:dyDescent="0.25"/>
    <row r="43" spans="1:7" s="178" customFormat="1" x14ac:dyDescent="0.25"/>
    <row r="44" spans="1:7" s="178" customFormat="1" x14ac:dyDescent="0.25"/>
    <row r="45" spans="1:7" s="178" customFormat="1" x14ac:dyDescent="0.25"/>
    <row r="46" spans="1:7" s="178" customFormat="1" x14ac:dyDescent="0.25"/>
    <row r="47" spans="1:7" s="178" customFormat="1" x14ac:dyDescent="0.25"/>
    <row r="48" spans="1:7" s="178" customFormat="1" x14ac:dyDescent="0.25"/>
    <row r="49" s="178" customFormat="1" x14ac:dyDescent="0.25"/>
    <row r="50" s="178" customFormat="1" x14ac:dyDescent="0.25"/>
    <row r="51" s="178" customFormat="1" x14ac:dyDescent="0.25"/>
    <row r="52" s="178" customFormat="1" x14ac:dyDescent="0.25"/>
    <row r="53" s="178" customFormat="1" x14ac:dyDescent="0.25"/>
    <row r="54" s="178" customFormat="1" x14ac:dyDescent="0.25"/>
    <row r="55" s="178" customFormat="1" x14ac:dyDescent="0.25"/>
    <row r="56" s="178" customFormat="1" x14ac:dyDescent="0.25"/>
    <row r="57" s="178" customFormat="1" x14ac:dyDescent="0.25"/>
    <row r="58" s="178" customFormat="1" x14ac:dyDescent="0.25"/>
    <row r="59" s="178" customFormat="1" x14ac:dyDescent="0.25"/>
    <row r="60" s="178" customFormat="1" x14ac:dyDescent="0.25"/>
    <row r="61" s="178" customFormat="1" x14ac:dyDescent="0.25"/>
    <row r="62" s="178" customFormat="1" x14ac:dyDescent="0.25"/>
    <row r="63" s="178" customFormat="1" x14ac:dyDescent="0.25"/>
    <row r="64" s="178" customFormat="1" x14ac:dyDescent="0.25"/>
    <row r="65" s="178" customFormat="1" x14ac:dyDescent="0.25"/>
    <row r="66" s="178" customFormat="1" x14ac:dyDescent="0.25"/>
    <row r="67" s="178" customFormat="1" x14ac:dyDescent="0.25"/>
    <row r="68" s="178" customFormat="1" x14ac:dyDescent="0.25"/>
    <row r="69" s="178" customFormat="1" x14ac:dyDescent="0.25"/>
    <row r="70" s="178" customFormat="1" x14ac:dyDescent="0.25"/>
    <row r="71" s="178" customFormat="1" x14ac:dyDescent="0.25"/>
    <row r="72" s="178" customFormat="1" x14ac:dyDescent="0.25"/>
    <row r="73" s="178" customFormat="1" x14ac:dyDescent="0.25"/>
    <row r="74" s="178" customFormat="1" x14ac:dyDescent="0.25"/>
    <row r="75" s="178" customFormat="1" x14ac:dyDescent="0.25"/>
    <row r="76" s="178" customFormat="1" x14ac:dyDescent="0.25"/>
    <row r="77" s="178" customFormat="1" x14ac:dyDescent="0.25"/>
    <row r="78" s="178" customFormat="1" x14ac:dyDescent="0.25"/>
    <row r="79" s="178" customFormat="1" x14ac:dyDescent="0.25"/>
    <row r="80" s="178" customFormat="1" x14ac:dyDescent="0.25"/>
    <row r="81" s="178" customFormat="1" x14ac:dyDescent="0.25"/>
    <row r="82" s="178" customFormat="1" x14ac:dyDescent="0.25"/>
    <row r="83" s="178" customFormat="1" x14ac:dyDescent="0.25"/>
  </sheetData>
  <mergeCells count="12">
    <mergeCell ref="C11:C12"/>
    <mergeCell ref="A11:A12"/>
    <mergeCell ref="A24:A25"/>
    <mergeCell ref="A15:A16"/>
    <mergeCell ref="M24:M25"/>
    <mergeCell ref="M15:M16"/>
    <mergeCell ref="L11:L12"/>
    <mergeCell ref="A5:A6"/>
    <mergeCell ref="A20:A21"/>
    <mergeCell ref="B20:B21"/>
    <mergeCell ref="B27:B33"/>
    <mergeCell ref="B24:B25"/>
  </mergeCells>
  <conditionalFormatting sqref="L5:L8">
    <cfRule type="cellIs" dxfId="171" priority="21" operator="equal">
      <formula>$P$7</formula>
    </cfRule>
    <cfRule type="cellIs" dxfId="170" priority="22" operator="equal">
      <formula>$P$6</formula>
    </cfRule>
    <cfRule type="cellIs" dxfId="169" priority="23" operator="equal">
      <formula>$P$5</formula>
    </cfRule>
    <cfRule type="cellIs" dxfId="168" priority="24" operator="notEqual">
      <formula>$P$4</formula>
    </cfRule>
  </conditionalFormatting>
  <conditionalFormatting sqref="L11">
    <cfRule type="cellIs" dxfId="167" priority="17" operator="equal">
      <formula>$P$7</formula>
    </cfRule>
    <cfRule type="cellIs" dxfId="166" priority="18" operator="equal">
      <formula>$P$6</formula>
    </cfRule>
    <cfRule type="cellIs" dxfId="165" priority="19" operator="equal">
      <formula>$P$5</formula>
    </cfRule>
    <cfRule type="cellIs" dxfId="164" priority="20" operator="notEqual">
      <formula>$P$4</formula>
    </cfRule>
  </conditionalFormatting>
  <conditionalFormatting sqref="L20:L21">
    <cfRule type="cellIs" dxfId="163" priority="13" operator="equal">
      <formula>$P$7</formula>
    </cfRule>
    <cfRule type="cellIs" dxfId="162" priority="14" operator="equal">
      <formula>$P$6</formula>
    </cfRule>
    <cfRule type="cellIs" dxfId="161" priority="15" operator="equal">
      <formula>$P$5</formula>
    </cfRule>
    <cfRule type="cellIs" dxfId="160" priority="16" operator="notEqual">
      <formula>$P$4</formula>
    </cfRule>
  </conditionalFormatting>
  <conditionalFormatting sqref="L24:L25">
    <cfRule type="cellIs" dxfId="159" priority="9" operator="equal">
      <formula>$P$7</formula>
    </cfRule>
    <cfRule type="cellIs" dxfId="158" priority="10" operator="equal">
      <formula>$P$6</formula>
    </cfRule>
    <cfRule type="cellIs" dxfId="157" priority="11" operator="equal">
      <formula>$P$5</formula>
    </cfRule>
    <cfRule type="cellIs" dxfId="156" priority="12" operator="notEqual">
      <formula>$P$4</formula>
    </cfRule>
  </conditionalFormatting>
  <conditionalFormatting sqref="L16">
    <cfRule type="cellIs" dxfId="155" priority="1" operator="equal">
      <formula>$P$7</formula>
    </cfRule>
    <cfRule type="cellIs" dxfId="154" priority="2" operator="equal">
      <formula>$P$6</formula>
    </cfRule>
    <cfRule type="cellIs" dxfId="153" priority="3" operator="equal">
      <formula>$P$5</formula>
    </cfRule>
    <cfRule type="cellIs" dxfId="152" priority="4" operator="notEqual">
      <formula>$P$4</formula>
    </cfRule>
  </conditionalFormatting>
  <conditionalFormatting sqref="L15">
    <cfRule type="cellIs" dxfId="151" priority="5" operator="equal">
      <formula>$P$7</formula>
    </cfRule>
    <cfRule type="cellIs" dxfId="150" priority="6" operator="equal">
      <formula>$P$6</formula>
    </cfRule>
    <cfRule type="cellIs" dxfId="149" priority="7" operator="equal">
      <formula>$P$5</formula>
    </cfRule>
    <cfRule type="cellIs" dxfId="148" priority="8" operator="notEqual">
      <formula>$P$4</formula>
    </cfRule>
  </conditionalFormatting>
  <dataValidations count="1">
    <dataValidation type="list" allowBlank="1" showInputMessage="1" showErrorMessage="1" sqref="L5:L8 L24:L25 L20:L21 L15:L16 L11" xr:uid="{8B841EBA-10EC-472A-ACDD-A3F4AB4CC7F2}">
      <formula1>$P$4:$P$7</formula1>
    </dataValidation>
  </dataValidation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R54"/>
  <sheetViews>
    <sheetView zoomScaleNormal="100" workbookViewId="0">
      <selection activeCell="C14" sqref="C14"/>
    </sheetView>
  </sheetViews>
  <sheetFormatPr defaultRowHeight="15" x14ac:dyDescent="0.25"/>
  <cols>
    <col min="1" max="1" width="14.7109375" style="176" customWidth="1"/>
    <col min="2" max="2" width="48.5703125" style="176" customWidth="1"/>
    <col min="3" max="3" width="47.7109375" style="176" customWidth="1"/>
    <col min="4" max="4" width="46.85546875" style="176" customWidth="1"/>
    <col min="5" max="5" width="1.7109375" style="176" hidden="1" customWidth="1"/>
    <col min="6" max="6" width="6.5703125" style="176" hidden="1" customWidth="1"/>
    <col min="7" max="7" width="7.85546875" style="176" hidden="1" customWidth="1"/>
    <col min="8" max="8" width="10" style="176" hidden="1" customWidth="1"/>
    <col min="9" max="9" width="8.140625" style="176" hidden="1" customWidth="1"/>
    <col min="10" max="10" width="4.5703125" style="176" hidden="1" customWidth="1"/>
    <col min="11" max="11" width="8.28515625" style="176" hidden="1" customWidth="1"/>
    <col min="12" max="12" width="8.7109375" style="176" customWidth="1"/>
    <col min="13" max="13" width="37.5703125" style="176" customWidth="1"/>
    <col min="14" max="16" width="9.140625" style="176"/>
    <col min="17" max="18" width="0" style="176" hidden="1" customWidth="1"/>
    <col min="19" max="16384" width="9.140625" style="176"/>
  </cols>
  <sheetData>
    <row r="1" spans="1:18" ht="18" x14ac:dyDescent="0.25">
      <c r="A1" s="790" t="s">
        <v>565</v>
      </c>
      <c r="B1" s="559"/>
      <c r="C1" s="559"/>
      <c r="J1" s="4"/>
      <c r="K1" s="573" t="s">
        <v>331</v>
      </c>
      <c r="M1" s="1014">
        <v>43586</v>
      </c>
    </row>
    <row r="2" spans="1:18" ht="7.5" customHeight="1" thickBot="1" x14ac:dyDescent="0.3"/>
    <row r="3" spans="1:18" ht="17.25" customHeight="1" x14ac:dyDescent="0.25">
      <c r="A3" s="293" t="s">
        <v>197</v>
      </c>
      <c r="B3" s="652"/>
      <c r="C3" s="652"/>
      <c r="D3" s="652"/>
      <c r="E3" s="294"/>
      <c r="F3" s="686"/>
      <c r="G3" s="686"/>
      <c r="H3" s="686"/>
      <c r="I3" s="686"/>
      <c r="J3" s="686"/>
      <c r="K3" s="687"/>
      <c r="L3" s="294"/>
      <c r="M3" s="296"/>
    </row>
    <row r="4" spans="1:18" ht="34.5" customHeight="1" thickBot="1" x14ac:dyDescent="0.3">
      <c r="A4" s="297" t="s">
        <v>0</v>
      </c>
      <c r="B4" s="298" t="s">
        <v>1</v>
      </c>
      <c r="C4" s="299" t="s">
        <v>14</v>
      </c>
      <c r="D4" s="298" t="s">
        <v>58</v>
      </c>
      <c r="E4" s="298"/>
      <c r="F4" s="655" t="s">
        <v>30</v>
      </c>
      <c r="G4" s="655" t="s">
        <v>2</v>
      </c>
      <c r="H4" s="688" t="s">
        <v>3</v>
      </c>
      <c r="I4" s="655" t="s">
        <v>4</v>
      </c>
      <c r="J4" s="688" t="s">
        <v>5</v>
      </c>
      <c r="K4" s="656" t="s">
        <v>31</v>
      </c>
      <c r="L4" s="298" t="s">
        <v>18</v>
      </c>
      <c r="M4" s="301" t="s">
        <v>495</v>
      </c>
      <c r="Q4" s="945"/>
      <c r="R4" s="176" t="s">
        <v>136</v>
      </c>
    </row>
    <row r="5" spans="1:18" ht="27.75" customHeight="1" x14ac:dyDescent="0.25">
      <c r="A5" s="1123" t="s">
        <v>243</v>
      </c>
      <c r="B5" s="225" t="s">
        <v>158</v>
      </c>
      <c r="C5" s="31" t="s">
        <v>159</v>
      </c>
      <c r="D5" s="703" t="s">
        <v>408</v>
      </c>
      <c r="E5" s="235"/>
      <c r="F5" s="316">
        <v>0.06</v>
      </c>
      <c r="G5" s="329">
        <f>F5*153939*(14.22/13.94)</f>
        <v>9421.8618938307045</v>
      </c>
      <c r="H5" s="329">
        <v>6500</v>
      </c>
      <c r="I5" s="315">
        <f>G5+H5</f>
        <v>15921.861893830705</v>
      </c>
      <c r="J5" s="330">
        <v>90</v>
      </c>
      <c r="K5" s="331">
        <f>0.9*I5</f>
        <v>14329.675704447634</v>
      </c>
      <c r="L5" s="960" t="s">
        <v>136</v>
      </c>
      <c r="M5" s="941" t="s">
        <v>581</v>
      </c>
      <c r="Q5" s="946"/>
      <c r="R5" s="176" t="s">
        <v>496</v>
      </c>
    </row>
    <row r="6" spans="1:18" ht="28.5" customHeight="1" x14ac:dyDescent="0.25">
      <c r="A6" s="1124"/>
      <c r="B6" s="197" t="s">
        <v>387</v>
      </c>
      <c r="C6" s="197" t="s">
        <v>386</v>
      </c>
      <c r="D6" s="703" t="s">
        <v>427</v>
      </c>
      <c r="E6" s="235"/>
      <c r="F6" s="696"/>
      <c r="G6" s="333"/>
      <c r="H6" s="334"/>
      <c r="I6" s="334"/>
      <c r="J6" s="334"/>
      <c r="K6" s="335"/>
      <c r="L6" s="960" t="s">
        <v>136</v>
      </c>
      <c r="M6" s="943" t="s">
        <v>582</v>
      </c>
      <c r="Q6" s="947"/>
      <c r="R6" s="176" t="s">
        <v>497</v>
      </c>
    </row>
    <row r="7" spans="1:18" ht="40.5" customHeight="1" x14ac:dyDescent="0.25">
      <c r="A7" s="1124"/>
      <c r="B7" s="110" t="s">
        <v>162</v>
      </c>
      <c r="C7" s="110" t="s">
        <v>100</v>
      </c>
      <c r="D7" s="706" t="s">
        <v>293</v>
      </c>
      <c r="E7" s="235"/>
      <c r="F7" s="709"/>
      <c r="G7" s="707"/>
      <c r="H7" s="334"/>
      <c r="I7" s="334"/>
      <c r="J7" s="334"/>
      <c r="K7" s="335"/>
      <c r="L7" s="960" t="s">
        <v>136</v>
      </c>
      <c r="M7" s="1017" t="s">
        <v>583</v>
      </c>
      <c r="Q7" s="948"/>
      <c r="R7" s="176" t="s">
        <v>498</v>
      </c>
    </row>
    <row r="8" spans="1:18" ht="27.75" customHeight="1" x14ac:dyDescent="0.25">
      <c r="A8" s="1124"/>
      <c r="B8" s="142" t="s">
        <v>163</v>
      </c>
      <c r="C8" s="142" t="s">
        <v>101</v>
      </c>
      <c r="D8" s="704" t="s">
        <v>294</v>
      </c>
      <c r="E8" s="235"/>
      <c r="F8" s="709"/>
      <c r="G8" s="707"/>
      <c r="H8" s="334"/>
      <c r="I8" s="334"/>
      <c r="J8" s="334"/>
      <c r="K8" s="850"/>
      <c r="L8" s="960" t="s">
        <v>136</v>
      </c>
      <c r="M8" s="995" t="s">
        <v>498</v>
      </c>
    </row>
    <row r="9" spans="1:18" ht="29.25" customHeight="1" x14ac:dyDescent="0.25">
      <c r="A9" s="1125"/>
      <c r="B9" s="336" t="s">
        <v>164</v>
      </c>
      <c r="C9" s="110" t="s">
        <v>178</v>
      </c>
      <c r="D9" s="447" t="s">
        <v>314</v>
      </c>
      <c r="E9" s="130"/>
      <c r="F9" s="710"/>
      <c r="G9" s="708"/>
      <c r="H9" s="338"/>
      <c r="I9" s="338"/>
      <c r="J9" s="338"/>
      <c r="K9" s="339"/>
      <c r="L9" s="960" t="s">
        <v>136</v>
      </c>
      <c r="M9" s="988" t="s">
        <v>584</v>
      </c>
    </row>
    <row r="10" spans="1:18" ht="40.5" customHeight="1" x14ac:dyDescent="0.25">
      <c r="A10" s="1123" t="s">
        <v>213</v>
      </c>
      <c r="B10" s="697" t="s">
        <v>165</v>
      </c>
      <c r="C10" s="705" t="s">
        <v>318</v>
      </c>
      <c r="D10" s="447" t="s">
        <v>323</v>
      </c>
      <c r="E10" s="130"/>
      <c r="F10" s="340">
        <v>0.2</v>
      </c>
      <c r="G10" s="341">
        <f>F10*153939*(14.22/13.94)</f>
        <v>31406.206312769016</v>
      </c>
      <c r="H10" s="341">
        <v>4955</v>
      </c>
      <c r="I10" s="341">
        <f>H10+G10</f>
        <v>36361.20631276902</v>
      </c>
      <c r="J10" s="342">
        <v>90</v>
      </c>
      <c r="K10" s="343">
        <f>0.9*I10</f>
        <v>32725.085681492117</v>
      </c>
      <c r="L10" s="960" t="s">
        <v>136</v>
      </c>
      <c r="M10" s="988" t="s">
        <v>585</v>
      </c>
    </row>
    <row r="11" spans="1:18" ht="29.25" customHeight="1" x14ac:dyDescent="0.25">
      <c r="A11" s="1124"/>
      <c r="B11" s="110" t="s">
        <v>83</v>
      </c>
      <c r="C11" s="110" t="s">
        <v>167</v>
      </c>
      <c r="D11" s="110" t="s">
        <v>33</v>
      </c>
      <c r="E11" s="130"/>
      <c r="F11" s="817"/>
      <c r="G11" s="333"/>
      <c r="H11" s="334"/>
      <c r="I11" s="334"/>
      <c r="J11" s="334"/>
      <c r="K11" s="335"/>
      <c r="L11" s="960" t="s">
        <v>136</v>
      </c>
      <c r="M11" s="988" t="s">
        <v>586</v>
      </c>
    </row>
    <row r="12" spans="1:18" ht="27.75" customHeight="1" x14ac:dyDescent="0.25">
      <c r="A12" s="1124"/>
      <c r="B12" s="110" t="s">
        <v>168</v>
      </c>
      <c r="C12" s="110" t="s">
        <v>169</v>
      </c>
      <c r="D12" s="110" t="s">
        <v>170</v>
      </c>
      <c r="E12" s="235"/>
      <c r="F12" s="817"/>
      <c r="G12" s="333"/>
      <c r="H12" s="715"/>
      <c r="I12" s="334"/>
      <c r="J12" s="334"/>
      <c r="K12" s="335"/>
      <c r="L12" s="960" t="s">
        <v>136</v>
      </c>
      <c r="M12" s="988" t="s">
        <v>587</v>
      </c>
    </row>
    <row r="13" spans="1:18" ht="27.75" customHeight="1" x14ac:dyDescent="0.25">
      <c r="A13" s="1125"/>
      <c r="B13" s="110" t="s">
        <v>171</v>
      </c>
      <c r="C13" s="110" t="s">
        <v>653</v>
      </c>
      <c r="D13" s="110" t="s">
        <v>172</v>
      </c>
      <c r="E13" s="130"/>
      <c r="F13" s="818"/>
      <c r="G13" s="337"/>
      <c r="H13" s="338"/>
      <c r="I13" s="338"/>
      <c r="J13" s="338"/>
      <c r="K13" s="851"/>
      <c r="L13" s="960" t="s">
        <v>136</v>
      </c>
      <c r="M13" s="988" t="s">
        <v>587</v>
      </c>
    </row>
    <row r="14" spans="1:18" ht="28.5" customHeight="1" x14ac:dyDescent="0.25">
      <c r="A14" s="1124" t="s">
        <v>217</v>
      </c>
      <c r="B14" s="932" t="s">
        <v>409</v>
      </c>
      <c r="C14" s="932"/>
      <c r="D14" s="932"/>
      <c r="E14" s="260"/>
      <c r="F14" s="334"/>
      <c r="G14" s="333"/>
      <c r="H14" s="334"/>
      <c r="I14" s="347"/>
      <c r="J14" s="334"/>
      <c r="K14" s="348"/>
      <c r="L14" s="960" t="s">
        <v>136</v>
      </c>
      <c r="M14" s="988" t="s">
        <v>588</v>
      </c>
    </row>
    <row r="15" spans="1:18" ht="28.5" customHeight="1" thickBot="1" x14ac:dyDescent="0.3">
      <c r="A15" s="1124"/>
      <c r="B15" s="753" t="s">
        <v>416</v>
      </c>
      <c r="C15" s="561" t="s">
        <v>321</v>
      </c>
      <c r="D15" s="561" t="s">
        <v>322</v>
      </c>
      <c r="E15" s="260"/>
      <c r="F15" s="334"/>
      <c r="G15" s="333"/>
      <c r="H15" s="334"/>
      <c r="I15" s="347"/>
      <c r="J15" s="334"/>
      <c r="K15" s="348"/>
      <c r="L15" s="960" t="s">
        <v>136</v>
      </c>
      <c r="M15" s="988" t="s">
        <v>589</v>
      </c>
    </row>
    <row r="16" spans="1:18" ht="15.75" customHeight="1" x14ac:dyDescent="0.25">
      <c r="A16" s="207" t="s">
        <v>198</v>
      </c>
      <c r="B16" s="643"/>
      <c r="C16" s="643"/>
      <c r="D16" s="643"/>
      <c r="E16" s="208"/>
      <c r="F16" s="683"/>
      <c r="G16" s="683"/>
      <c r="H16" s="683"/>
      <c r="I16" s="683"/>
      <c r="J16" s="683"/>
      <c r="K16" s="684"/>
      <c r="L16" s="691"/>
      <c r="M16" s="692"/>
    </row>
    <row r="17" spans="1:13" ht="31.5" customHeight="1" thickBot="1" x14ac:dyDescent="0.3">
      <c r="A17" s="274" t="s">
        <v>0</v>
      </c>
      <c r="B17" s="275" t="s">
        <v>1</v>
      </c>
      <c r="C17" s="276" t="s">
        <v>16</v>
      </c>
      <c r="D17" s="275" t="s">
        <v>58</v>
      </c>
      <c r="E17" s="275"/>
      <c r="F17" s="659" t="s">
        <v>30</v>
      </c>
      <c r="G17" s="659" t="s">
        <v>2</v>
      </c>
      <c r="H17" s="660" t="s">
        <v>3</v>
      </c>
      <c r="I17" s="659" t="s">
        <v>4</v>
      </c>
      <c r="J17" s="661" t="s">
        <v>5</v>
      </c>
      <c r="K17" s="662" t="s">
        <v>31</v>
      </c>
      <c r="L17" s="275" t="s">
        <v>18</v>
      </c>
      <c r="M17" s="277" t="s">
        <v>495</v>
      </c>
    </row>
    <row r="18" spans="1:13" ht="79.5" customHeight="1" thickBot="1" x14ac:dyDescent="0.3">
      <c r="A18" s="405" t="s">
        <v>204</v>
      </c>
      <c r="B18" s="406" t="s">
        <v>156</v>
      </c>
      <c r="C18" s="407" t="s">
        <v>157</v>
      </c>
      <c r="D18" s="172" t="s">
        <v>250</v>
      </c>
      <c r="E18" s="406"/>
      <c r="F18" s="809">
        <v>0.29599999999999999</v>
      </c>
      <c r="G18" s="408">
        <f>F18*176702*(14.22/13.94)</f>
        <v>53354.370318507892</v>
      </c>
      <c r="H18" s="409" t="s">
        <v>22</v>
      </c>
      <c r="I18" s="410">
        <f>G18</f>
        <v>53354.370318507892</v>
      </c>
      <c r="J18" s="411">
        <v>100</v>
      </c>
      <c r="K18" s="412">
        <f>$I$18</f>
        <v>53354.370318507892</v>
      </c>
      <c r="L18" s="960" t="s">
        <v>136</v>
      </c>
      <c r="M18" s="938"/>
    </row>
    <row r="19" spans="1:13" ht="17.25" customHeight="1" x14ac:dyDescent="0.25">
      <c r="A19" s="624" t="s">
        <v>209</v>
      </c>
      <c r="B19" s="625"/>
      <c r="C19" s="625"/>
      <c r="D19" s="625"/>
      <c r="E19" s="625"/>
      <c r="F19" s="625"/>
      <c r="G19" s="625"/>
      <c r="H19" s="625"/>
      <c r="I19" s="625"/>
      <c r="J19" s="625"/>
      <c r="K19" s="626"/>
      <c r="L19" s="625"/>
      <c r="M19" s="626"/>
    </row>
    <row r="20" spans="1:13" ht="33.75" customHeight="1" thickBot="1" x14ac:dyDescent="0.3">
      <c r="A20" s="627" t="s">
        <v>0</v>
      </c>
      <c r="B20" s="628" t="s">
        <v>1</v>
      </c>
      <c r="C20" s="630" t="s">
        <v>14</v>
      </c>
      <c r="D20" s="628" t="s">
        <v>58</v>
      </c>
      <c r="E20" s="628"/>
      <c r="F20" s="628" t="s">
        <v>30</v>
      </c>
      <c r="G20" s="628" t="s">
        <v>2</v>
      </c>
      <c r="H20" s="628" t="s">
        <v>3</v>
      </c>
      <c r="I20" s="628" t="s">
        <v>4</v>
      </c>
      <c r="J20" s="631" t="s">
        <v>55</v>
      </c>
      <c r="K20" s="629" t="s">
        <v>56</v>
      </c>
      <c r="L20" s="628" t="s">
        <v>18</v>
      </c>
      <c r="M20" s="629" t="s">
        <v>495</v>
      </c>
    </row>
    <row r="21" spans="1:13" ht="28.5" customHeight="1" x14ac:dyDescent="0.25">
      <c r="A21" s="1049" t="s">
        <v>288</v>
      </c>
      <c r="B21" s="139" t="s">
        <v>85</v>
      </c>
      <c r="C21" s="139" t="s">
        <v>75</v>
      </c>
      <c r="D21" s="478" t="s">
        <v>413</v>
      </c>
      <c r="E21" s="1025"/>
      <c r="F21" s="586">
        <v>0.3</v>
      </c>
      <c r="G21" s="314">
        <f>F21*153816*(14.22/13.94)</f>
        <v>47071.668292682931</v>
      </c>
      <c r="H21" s="314">
        <v>93452</v>
      </c>
      <c r="I21" s="315">
        <f>G21+H21</f>
        <v>140523.66829268294</v>
      </c>
      <c r="J21" s="1149">
        <v>90</v>
      </c>
      <c r="K21" s="329">
        <f>0.9*I21</f>
        <v>126471.30146341465</v>
      </c>
      <c r="L21" s="964" t="s">
        <v>136</v>
      </c>
      <c r="M21" s="1157" t="s">
        <v>590</v>
      </c>
    </row>
    <row r="22" spans="1:13" ht="14.25" customHeight="1" x14ac:dyDescent="0.25">
      <c r="A22" s="1050"/>
      <c r="B22" s="140"/>
      <c r="C22" s="140"/>
      <c r="D22" s="448" t="s">
        <v>403</v>
      </c>
      <c r="E22" s="1024"/>
      <c r="F22" s="317"/>
      <c r="G22" s="318"/>
      <c r="H22" s="319"/>
      <c r="I22" s="320"/>
      <c r="J22" s="319"/>
      <c r="K22" s="320"/>
      <c r="L22" s="960" t="s">
        <v>136</v>
      </c>
      <c r="M22" s="999" t="s">
        <v>355</v>
      </c>
    </row>
    <row r="23" spans="1:13" ht="27.75" customHeight="1" x14ac:dyDescent="0.25">
      <c r="A23" s="1050"/>
      <c r="B23" s="129" t="s">
        <v>76</v>
      </c>
      <c r="C23" s="129" t="s">
        <v>77</v>
      </c>
      <c r="D23" s="448" t="s">
        <v>404</v>
      </c>
      <c r="E23" s="1033"/>
      <c r="F23" s="317"/>
      <c r="G23" s="318"/>
      <c r="H23" s="319"/>
      <c r="I23" s="320"/>
      <c r="J23" s="319"/>
      <c r="K23" s="320"/>
      <c r="L23" s="960" t="s">
        <v>136</v>
      </c>
      <c r="M23" s="995" t="s">
        <v>591</v>
      </c>
    </row>
    <row r="24" spans="1:13" ht="29.25" customHeight="1" x14ac:dyDescent="0.25">
      <c r="A24" s="1050"/>
      <c r="B24" s="146" t="s">
        <v>78</v>
      </c>
      <c r="C24" s="146" t="s">
        <v>79</v>
      </c>
      <c r="D24" s="1020" t="s">
        <v>405</v>
      </c>
      <c r="E24" s="574"/>
      <c r="F24" s="317"/>
      <c r="G24" s="318"/>
      <c r="H24" s="319"/>
      <c r="I24" s="320"/>
      <c r="J24" s="319"/>
      <c r="K24" s="320"/>
      <c r="L24" s="960" t="s">
        <v>136</v>
      </c>
      <c r="M24" s="988" t="s">
        <v>592</v>
      </c>
    </row>
    <row r="25" spans="1:13" ht="27" customHeight="1" x14ac:dyDescent="0.25">
      <c r="A25" s="1050"/>
      <c r="B25" s="129"/>
      <c r="C25" s="129" t="s">
        <v>80</v>
      </c>
      <c r="D25" s="448" t="s">
        <v>406</v>
      </c>
      <c r="E25" s="1032"/>
      <c r="F25" s="317"/>
      <c r="G25" s="318"/>
      <c r="H25" s="319"/>
      <c r="I25" s="320"/>
      <c r="J25" s="319"/>
      <c r="K25" s="321"/>
      <c r="L25" s="960" t="s">
        <v>136</v>
      </c>
      <c r="M25" s="988" t="s">
        <v>592</v>
      </c>
    </row>
    <row r="26" spans="1:13" ht="40.5" customHeight="1" x14ac:dyDescent="0.25">
      <c r="A26" s="1050"/>
      <c r="B26" s="129"/>
      <c r="C26" s="129" t="s">
        <v>86</v>
      </c>
      <c r="D26" s="448" t="s">
        <v>516</v>
      </c>
      <c r="E26" s="1032"/>
      <c r="F26" s="317"/>
      <c r="G26" s="318"/>
      <c r="H26" s="319"/>
      <c r="I26" s="320"/>
      <c r="J26" s="319"/>
      <c r="K26" s="320"/>
      <c r="L26" s="960" t="s">
        <v>136</v>
      </c>
      <c r="M26" s="995"/>
    </row>
    <row r="27" spans="1:13" ht="29.25" customHeight="1" x14ac:dyDescent="0.25">
      <c r="A27" s="1071"/>
      <c r="B27" s="143" t="s">
        <v>82</v>
      </c>
      <c r="C27" s="144" t="s">
        <v>87</v>
      </c>
      <c r="D27" s="561" t="s">
        <v>407</v>
      </c>
      <c r="E27" s="1033"/>
      <c r="F27" s="547"/>
      <c r="G27" s="521"/>
      <c r="H27" s="548"/>
      <c r="I27" s="549"/>
      <c r="J27" s="548"/>
      <c r="K27" s="1158"/>
      <c r="L27" s="1151" t="s">
        <v>136</v>
      </c>
      <c r="M27" s="995" t="s">
        <v>593</v>
      </c>
    </row>
    <row r="28" spans="1:13" ht="29.25" customHeight="1" x14ac:dyDescent="0.25">
      <c r="A28" s="145" t="s">
        <v>217</v>
      </c>
      <c r="B28" s="772" t="s">
        <v>286</v>
      </c>
      <c r="C28" s="144" t="s">
        <v>173</v>
      </c>
      <c r="D28" s="561" t="s">
        <v>324</v>
      </c>
      <c r="E28" s="574"/>
      <c r="F28" s="810">
        <f>0.1+0.017</f>
        <v>0.11700000000000001</v>
      </c>
      <c r="G28" s="341">
        <f>F28*153816*(14.22/13.94)</f>
        <v>18357.950634146346</v>
      </c>
      <c r="H28" s="581"/>
      <c r="I28" s="581">
        <f>G28+H28</f>
        <v>18357.950634146346</v>
      </c>
      <c r="J28" s="340">
        <v>90</v>
      </c>
      <c r="K28" s="343">
        <f>0.9*I28</f>
        <v>16522.155570731713</v>
      </c>
      <c r="L28" s="960" t="s">
        <v>136</v>
      </c>
      <c r="M28" s="1156" t="s">
        <v>355</v>
      </c>
    </row>
    <row r="29" spans="1:13" ht="29.25" customHeight="1" x14ac:dyDescent="0.25">
      <c r="A29" s="89"/>
      <c r="B29" s="144" t="s">
        <v>89</v>
      </c>
      <c r="C29" s="561" t="s">
        <v>90</v>
      </c>
      <c r="D29" s="561" t="s">
        <v>319</v>
      </c>
      <c r="E29" s="224"/>
      <c r="F29" s="317"/>
      <c r="G29" s="318"/>
      <c r="H29" s="319"/>
      <c r="I29" s="320"/>
      <c r="J29" s="319"/>
      <c r="K29" s="321"/>
      <c r="L29" s="960" t="s">
        <v>136</v>
      </c>
      <c r="M29" s="999" t="s">
        <v>355</v>
      </c>
    </row>
    <row r="30" spans="1:13" ht="31.5" customHeight="1" thickBot="1" x14ac:dyDescent="0.3">
      <c r="A30" s="569" t="s">
        <v>218</v>
      </c>
      <c r="B30" s="373" t="s">
        <v>83</v>
      </c>
      <c r="C30" s="302" t="s">
        <v>84</v>
      </c>
      <c r="D30" s="197" t="s">
        <v>91</v>
      </c>
      <c r="E30" s="302"/>
      <c r="F30" s="580">
        <v>0.03</v>
      </c>
      <c r="G30" s="341">
        <f>F30*153816*(14.22/13.94)</f>
        <v>4707.1668292682925</v>
      </c>
      <c r="H30" s="340">
        <v>0</v>
      </c>
      <c r="I30" s="581">
        <f>G30+H30</f>
        <v>4707.1668292682925</v>
      </c>
      <c r="J30" s="340">
        <v>90</v>
      </c>
      <c r="K30" s="343">
        <f>0.9*I30</f>
        <v>4236.4501463414636</v>
      </c>
      <c r="L30" s="960" t="s">
        <v>136</v>
      </c>
      <c r="M30" s="192"/>
    </row>
    <row r="31" spans="1:13" ht="16.5" thickBot="1" x14ac:dyDescent="0.3">
      <c r="A31" s="417" t="s">
        <v>199</v>
      </c>
      <c r="B31" s="690"/>
      <c r="C31" s="24"/>
      <c r="D31" s="25"/>
      <c r="E31" s="25"/>
      <c r="F31" s="426"/>
      <c r="G31" s="427"/>
      <c r="H31" s="427"/>
      <c r="I31" s="427"/>
      <c r="J31" s="427"/>
      <c r="K31" s="428"/>
      <c r="L31" s="25"/>
      <c r="M31" s="944"/>
    </row>
    <row r="32" spans="1:13" ht="15.75" x14ac:dyDescent="0.25">
      <c r="A32" s="193" t="s">
        <v>206</v>
      </c>
      <c r="B32" s="689"/>
      <c r="C32" s="664"/>
      <c r="D32" s="664"/>
      <c r="E32" s="194"/>
      <c r="F32" s="680"/>
      <c r="G32" s="680"/>
      <c r="H32" s="680"/>
      <c r="I32" s="680"/>
      <c r="J32" s="680"/>
      <c r="K32" s="681"/>
      <c r="L32" s="194"/>
      <c r="M32" s="195"/>
    </row>
    <row r="33" spans="1:13" ht="33" customHeight="1" thickBot="1" x14ac:dyDescent="0.3">
      <c r="A33" s="279" t="s">
        <v>0</v>
      </c>
      <c r="B33" s="267" t="s">
        <v>1</v>
      </c>
      <c r="C33" s="280" t="s">
        <v>14</v>
      </c>
      <c r="D33" s="267" t="s">
        <v>58</v>
      </c>
      <c r="E33" s="268"/>
      <c r="F33" s="668" t="s">
        <v>30</v>
      </c>
      <c r="G33" s="668" t="s">
        <v>2</v>
      </c>
      <c r="H33" s="669" t="s">
        <v>3</v>
      </c>
      <c r="I33" s="670" t="s">
        <v>4</v>
      </c>
      <c r="J33" s="669" t="s">
        <v>59</v>
      </c>
      <c r="K33" s="682" t="s">
        <v>31</v>
      </c>
      <c r="L33" s="267" t="s">
        <v>18</v>
      </c>
      <c r="M33" s="281" t="s">
        <v>495</v>
      </c>
    </row>
    <row r="34" spans="1:13" ht="25.5" x14ac:dyDescent="0.25">
      <c r="A34" s="1049" t="s">
        <v>292</v>
      </c>
      <c r="B34" s="1053" t="s">
        <v>174</v>
      </c>
      <c r="C34" s="349" t="s">
        <v>9</v>
      </c>
      <c r="D34" s="349" t="s">
        <v>9</v>
      </c>
      <c r="E34" s="224"/>
      <c r="F34" s="808">
        <v>0.38269999999999998</v>
      </c>
      <c r="G34" s="350">
        <f>F34*128495*(14.22/13.94)</f>
        <v>50162.770375179345</v>
      </c>
      <c r="H34" s="325">
        <v>17860</v>
      </c>
      <c r="I34" s="351">
        <f>G34+H34</f>
        <v>68022.770375179345</v>
      </c>
      <c r="J34" s="319">
        <v>100</v>
      </c>
      <c r="K34" s="321">
        <f>$I$34</f>
        <v>68022.770375179345</v>
      </c>
      <c r="L34" s="960" t="s">
        <v>136</v>
      </c>
      <c r="M34" s="1012" t="s">
        <v>543</v>
      </c>
    </row>
    <row r="35" spans="1:13" ht="30.75" customHeight="1" x14ac:dyDescent="0.25">
      <c r="A35" s="1071"/>
      <c r="B35" s="1126"/>
      <c r="C35" s="352" t="s">
        <v>175</v>
      </c>
      <c r="D35" s="352" t="s">
        <v>175</v>
      </c>
      <c r="E35" s="353"/>
      <c r="F35" s="354"/>
      <c r="G35" s="355"/>
      <c r="H35" s="356"/>
      <c r="I35" s="357"/>
      <c r="J35" s="358"/>
      <c r="K35" s="359"/>
      <c r="L35" s="960" t="s">
        <v>136</v>
      </c>
      <c r="M35" s="942" t="s">
        <v>532</v>
      </c>
    </row>
    <row r="36" spans="1:13" ht="30" customHeight="1" x14ac:dyDescent="0.25">
      <c r="A36" s="1055" t="s">
        <v>216</v>
      </c>
      <c r="B36" s="198" t="s">
        <v>291</v>
      </c>
      <c r="C36" s="360" t="s">
        <v>176</v>
      </c>
      <c r="D36" s="360" t="s">
        <v>176</v>
      </c>
      <c r="E36" s="224"/>
      <c r="F36" s="361"/>
      <c r="G36" s="362"/>
      <c r="H36" s="362"/>
      <c r="I36" s="363"/>
      <c r="J36" s="361"/>
      <c r="K36" s="389"/>
      <c r="L36" s="1062" t="s">
        <v>136</v>
      </c>
      <c r="M36" s="943"/>
    </row>
    <row r="37" spans="1:13" ht="41.25" customHeight="1" thickBot="1" x14ac:dyDescent="0.3">
      <c r="A37" s="1050"/>
      <c r="B37" s="360" t="s">
        <v>222</v>
      </c>
      <c r="C37" s="572"/>
      <c r="D37" s="572"/>
      <c r="E37" s="570"/>
      <c r="F37" s="388"/>
      <c r="G37" s="389"/>
      <c r="H37" s="361"/>
      <c r="I37" s="389"/>
      <c r="J37" s="361"/>
      <c r="K37" s="389"/>
      <c r="L37" s="1067"/>
      <c r="M37" s="943"/>
    </row>
    <row r="38" spans="1:13" ht="15.75" x14ac:dyDescent="0.25">
      <c r="A38" s="205" t="s">
        <v>208</v>
      </c>
      <c r="B38" s="672"/>
      <c r="C38" s="672"/>
      <c r="D38" s="672"/>
      <c r="E38" s="206"/>
      <c r="F38" s="678"/>
      <c r="G38" s="678"/>
      <c r="H38" s="678"/>
      <c r="I38" s="678"/>
      <c r="J38" s="678"/>
      <c r="K38" s="679"/>
      <c r="L38" s="206"/>
      <c r="M38" s="210"/>
    </row>
    <row r="39" spans="1:13" ht="30.75" customHeight="1" thickBot="1" x14ac:dyDescent="0.3">
      <c r="A39" s="271" t="s">
        <v>0</v>
      </c>
      <c r="B39" s="266" t="s">
        <v>1</v>
      </c>
      <c r="C39" s="272" t="s">
        <v>14</v>
      </c>
      <c r="D39" s="266" t="s">
        <v>58</v>
      </c>
      <c r="E39" s="266"/>
      <c r="F39" s="675" t="s">
        <v>30</v>
      </c>
      <c r="G39" s="675" t="s">
        <v>2</v>
      </c>
      <c r="H39" s="676" t="s">
        <v>3</v>
      </c>
      <c r="I39" s="675" t="s">
        <v>4</v>
      </c>
      <c r="J39" s="676" t="s">
        <v>5</v>
      </c>
      <c r="K39" s="677" t="s">
        <v>31</v>
      </c>
      <c r="L39" s="266" t="s">
        <v>18</v>
      </c>
      <c r="M39" s="273" t="s">
        <v>495</v>
      </c>
    </row>
    <row r="40" spans="1:13" ht="29.25" customHeight="1" x14ac:dyDescent="0.25">
      <c r="A40" s="1049" t="s">
        <v>203</v>
      </c>
      <c r="B40" s="1053" t="s">
        <v>10</v>
      </c>
      <c r="C40" s="462" t="s">
        <v>19</v>
      </c>
      <c r="D40" s="103" t="s">
        <v>245</v>
      </c>
      <c r="E40" s="365"/>
      <c r="F40" s="326">
        <v>0</v>
      </c>
      <c r="G40" s="326">
        <v>0</v>
      </c>
      <c r="H40" s="325">
        <f>36*21.42</f>
        <v>771.12000000000012</v>
      </c>
      <c r="I40" s="325">
        <f>H40</f>
        <v>771.12000000000012</v>
      </c>
      <c r="J40" s="326">
        <v>100</v>
      </c>
      <c r="K40" s="328">
        <f>$I$40</f>
        <v>771.12000000000012</v>
      </c>
      <c r="L40" s="962" t="s">
        <v>136</v>
      </c>
      <c r="M40" s="1039" t="s">
        <v>548</v>
      </c>
    </row>
    <row r="41" spans="1:13" ht="30" customHeight="1" thickBot="1" x14ac:dyDescent="0.3">
      <c r="A41" s="1052"/>
      <c r="B41" s="1054"/>
      <c r="C41" s="463" t="s">
        <v>11</v>
      </c>
      <c r="D41" s="196" t="s">
        <v>246</v>
      </c>
      <c r="E41" s="366"/>
      <c r="F41" s="367"/>
      <c r="G41" s="875"/>
      <c r="H41" s="368"/>
      <c r="I41" s="368"/>
      <c r="J41" s="368"/>
      <c r="K41" s="525"/>
      <c r="L41" s="963" t="s">
        <v>136</v>
      </c>
      <c r="M41" s="1040"/>
    </row>
    <row r="42" spans="1:13" ht="11.25" customHeight="1" thickBot="1" x14ac:dyDescent="0.3">
      <c r="A42" s="120"/>
      <c r="B42" s="120"/>
      <c r="C42" s="196"/>
      <c r="D42" s="196"/>
      <c r="E42" s="867"/>
      <c r="F42" s="868"/>
      <c r="G42" s="876" t="s">
        <v>432</v>
      </c>
      <c r="H42" s="869"/>
      <c r="I42" s="869"/>
      <c r="J42" s="869"/>
      <c r="K42" s="870"/>
      <c r="L42" s="699"/>
    </row>
    <row r="43" spans="1:13" ht="15.75" thickBot="1" x14ac:dyDescent="0.3">
      <c r="A43" s="369"/>
      <c r="B43" s="1045" t="s">
        <v>12</v>
      </c>
      <c r="C43" s="218" t="s">
        <v>13</v>
      </c>
      <c r="D43" s="511">
        <v>147229.90718048782</v>
      </c>
      <c r="E43" s="370"/>
      <c r="F43" s="815"/>
      <c r="G43" s="841">
        <v>180590.68481926259</v>
      </c>
      <c r="H43" s="216"/>
      <c r="I43" s="216"/>
      <c r="J43" s="216"/>
      <c r="K43" s="216"/>
      <c r="L43" s="699"/>
    </row>
    <row r="44" spans="1:13" ht="15.75" thickBot="1" x14ac:dyDescent="0.3">
      <c r="A44" s="369"/>
      <c r="B44" s="1046"/>
      <c r="C44" s="217" t="s">
        <v>20</v>
      </c>
      <c r="D44" s="512">
        <v>53354.370318507892</v>
      </c>
      <c r="E44" s="306"/>
      <c r="G44" s="872">
        <v>52304</v>
      </c>
      <c r="H44" s="816"/>
      <c r="I44" s="816"/>
      <c r="J44" s="816"/>
      <c r="K44" s="816"/>
      <c r="L44" s="699"/>
    </row>
    <row r="45" spans="1:13" ht="15.75" thickBot="1" x14ac:dyDescent="0.3">
      <c r="A45" s="369"/>
      <c r="B45" s="1046"/>
      <c r="C45" s="217" t="s">
        <v>24</v>
      </c>
      <c r="D45" s="511">
        <v>67937.55422668581</v>
      </c>
      <c r="E45" s="370"/>
      <c r="F45" s="815"/>
      <c r="G45" s="843">
        <v>55565.135999999999</v>
      </c>
      <c r="H45" s="216"/>
      <c r="I45" s="216"/>
      <c r="J45" s="216"/>
      <c r="K45" s="216"/>
      <c r="L45" s="700"/>
    </row>
    <row r="46" spans="1:13" ht="15.75" thickBot="1" x14ac:dyDescent="0.3">
      <c r="A46" s="369"/>
      <c r="B46" s="1046"/>
      <c r="C46" s="1146" t="s">
        <v>21</v>
      </c>
      <c r="D46" s="1155">
        <v>68793.89037517934</v>
      </c>
      <c r="E46" s="371"/>
      <c r="G46" s="873">
        <v>67822.679999999993</v>
      </c>
      <c r="H46" s="791"/>
      <c r="I46" s="848" t="s">
        <v>299</v>
      </c>
      <c r="J46" s="791"/>
      <c r="K46" s="791"/>
      <c r="L46" s="699"/>
    </row>
    <row r="47" spans="1:13" hidden="1" x14ac:dyDescent="0.25">
      <c r="A47" s="369"/>
      <c r="B47" s="1047"/>
      <c r="C47" s="238" t="s">
        <v>25</v>
      </c>
      <c r="D47" s="514">
        <v>68022.770375179345</v>
      </c>
      <c r="E47" s="372"/>
      <c r="G47" s="845">
        <v>67035</v>
      </c>
      <c r="H47" s="791"/>
      <c r="I47" s="848" t="s">
        <v>300</v>
      </c>
      <c r="J47" s="791"/>
      <c r="K47" s="791"/>
      <c r="L47" s="699"/>
    </row>
    <row r="48" spans="1:13" ht="15.75" hidden="1" thickBot="1" x14ac:dyDescent="0.3">
      <c r="A48" s="369"/>
      <c r="B48" s="1047"/>
      <c r="C48" s="239" t="s">
        <v>26</v>
      </c>
      <c r="D48" s="515">
        <v>771.12000000000012</v>
      </c>
      <c r="E48" s="309"/>
      <c r="G48" s="846">
        <v>787.68</v>
      </c>
      <c r="L48" s="699"/>
    </row>
    <row r="49" spans="1:7" ht="15.75" thickBot="1" x14ac:dyDescent="0.3">
      <c r="A49" s="369"/>
      <c r="B49" s="1048"/>
      <c r="C49" s="240" t="s">
        <v>23</v>
      </c>
      <c r="D49" s="516">
        <v>337315.7221008609</v>
      </c>
      <c r="E49" s="310"/>
      <c r="F49" s="136"/>
      <c r="G49" s="874">
        <v>356282.50081926258</v>
      </c>
    </row>
    <row r="51" spans="1:7" x14ac:dyDescent="0.25">
      <c r="C51" s="209"/>
      <c r="D51" s="241" t="s">
        <v>74</v>
      </c>
      <c r="E51" s="241"/>
      <c r="F51" s="107"/>
    </row>
    <row r="52" spans="1:7" x14ac:dyDescent="0.25">
      <c r="F52" s="215"/>
    </row>
    <row r="53" spans="1:7" x14ac:dyDescent="0.25">
      <c r="F53" s="215"/>
    </row>
    <row r="54" spans="1:7" x14ac:dyDescent="0.25">
      <c r="D54" s="114"/>
      <c r="E54" s="114"/>
      <c r="F54" s="215"/>
    </row>
  </sheetData>
  <mergeCells count="12">
    <mergeCell ref="M40:M41"/>
    <mergeCell ref="L36:L37"/>
    <mergeCell ref="A5:A9"/>
    <mergeCell ref="A10:A13"/>
    <mergeCell ref="B43:B49"/>
    <mergeCell ref="A14:A15"/>
    <mergeCell ref="A36:A37"/>
    <mergeCell ref="A40:A41"/>
    <mergeCell ref="B40:B41"/>
    <mergeCell ref="A34:A35"/>
    <mergeCell ref="B34:B35"/>
    <mergeCell ref="A21:A27"/>
  </mergeCells>
  <conditionalFormatting sqref="L21:L30 L5:L15">
    <cfRule type="cellIs" dxfId="147" priority="17" operator="equal">
      <formula>$P$7</formula>
    </cfRule>
    <cfRule type="cellIs" dxfId="146" priority="18" operator="equal">
      <formula>$P$6</formula>
    </cfRule>
    <cfRule type="cellIs" dxfId="145" priority="19" operator="equal">
      <formula>$P$5</formula>
    </cfRule>
    <cfRule type="cellIs" dxfId="144" priority="20" operator="notEqual">
      <formula>$P$4</formula>
    </cfRule>
  </conditionalFormatting>
  <conditionalFormatting sqref="L18">
    <cfRule type="cellIs" dxfId="143" priority="13" operator="equal">
      <formula>$P$7</formula>
    </cfRule>
    <cfRule type="cellIs" dxfId="142" priority="14" operator="equal">
      <formula>$P$6</formula>
    </cfRule>
    <cfRule type="cellIs" dxfId="141" priority="15" operator="equal">
      <formula>$P$5</formula>
    </cfRule>
    <cfRule type="cellIs" dxfId="140" priority="16" operator="notEqual">
      <formula>$P$4</formula>
    </cfRule>
  </conditionalFormatting>
  <conditionalFormatting sqref="L40:L41">
    <cfRule type="cellIs" dxfId="139" priority="1" operator="equal">
      <formula>$P$7</formula>
    </cfRule>
    <cfRule type="cellIs" dxfId="138" priority="2" operator="equal">
      <formula>$P$6</formula>
    </cfRule>
    <cfRule type="cellIs" dxfId="137" priority="3" operator="equal">
      <formula>$P$5</formula>
    </cfRule>
    <cfRule type="cellIs" dxfId="136" priority="4" operator="notEqual">
      <formula>$P$4</formula>
    </cfRule>
  </conditionalFormatting>
  <conditionalFormatting sqref="L34:L36">
    <cfRule type="cellIs" dxfId="135" priority="5" operator="equal">
      <formula>$P$7</formula>
    </cfRule>
    <cfRule type="cellIs" dxfId="134" priority="6" operator="equal">
      <formula>$P$6</formula>
    </cfRule>
    <cfRule type="cellIs" dxfId="133" priority="7" operator="equal">
      <formula>$P$5</formula>
    </cfRule>
    <cfRule type="cellIs" dxfId="132" priority="8" operator="notEqual">
      <formula>$P$4</formula>
    </cfRule>
  </conditionalFormatting>
  <dataValidations count="1">
    <dataValidation type="list" allowBlank="1" showInputMessage="1" showErrorMessage="1" sqref="L18 L34:L36 L40:L41 L21:L30 L5:L15" xr:uid="{D7B16450-438B-4645-B6CB-76C69C7CD6B8}">
      <formula1>$P$4:$P$7</formula1>
    </dataValidation>
  </dataValidations>
  <pageMargins left="0.11811023622047245" right="0.11811023622047245" top="0.55118110236220474" bottom="0.55118110236220474" header="0.31496062992125984" footer="0.31496062992125984"/>
  <pageSetup paperSize="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249977111117893"/>
  </sheetPr>
  <dimension ref="A1:R83"/>
  <sheetViews>
    <sheetView topLeftCell="A13" zoomScaleNormal="100" workbookViewId="0">
      <selection activeCell="C25" sqref="C25"/>
    </sheetView>
  </sheetViews>
  <sheetFormatPr defaultRowHeight="15" x14ac:dyDescent="0.25"/>
  <cols>
    <col min="1" max="1" width="13.5703125" style="176" customWidth="1"/>
    <col min="2" max="2" width="46.140625" style="176" customWidth="1"/>
    <col min="3" max="3" width="45.7109375" style="176" customWidth="1"/>
    <col min="4" max="4" width="50.7109375" style="176" customWidth="1"/>
    <col min="5" max="5" width="8.28515625" style="176" hidden="1" customWidth="1"/>
    <col min="6" max="6" width="8.140625" style="176" hidden="1" customWidth="1"/>
    <col min="7" max="8" width="9.85546875" style="176" hidden="1" customWidth="1"/>
    <col min="9" max="9" width="5.5703125" style="176" hidden="1" customWidth="1"/>
    <col min="10" max="10" width="7.85546875" style="176" hidden="1" customWidth="1"/>
    <col min="11" max="11" width="10" style="176" hidden="1" customWidth="1"/>
    <col min="12" max="12" width="9.140625" style="176"/>
    <col min="13" max="13" width="37.140625" style="176" customWidth="1"/>
    <col min="14" max="16" width="9.140625" style="176"/>
    <col min="17" max="18" width="0" style="176" hidden="1" customWidth="1"/>
    <col min="19" max="16384" width="9.140625" style="176"/>
  </cols>
  <sheetData>
    <row r="1" spans="1:18" ht="18" x14ac:dyDescent="0.25">
      <c r="A1" s="790" t="s">
        <v>566</v>
      </c>
      <c r="B1" s="559"/>
      <c r="C1" s="559"/>
      <c r="D1" s="559"/>
      <c r="I1" s="4"/>
      <c r="J1" s="573" t="s">
        <v>331</v>
      </c>
      <c r="M1" s="1014">
        <v>43586</v>
      </c>
    </row>
    <row r="2" spans="1:18" ht="7.5" customHeight="1" thickBot="1" x14ac:dyDescent="0.3"/>
    <row r="3" spans="1:18" ht="18" customHeight="1" x14ac:dyDescent="0.25">
      <c r="A3" s="293" t="s">
        <v>197</v>
      </c>
      <c r="B3" s="652"/>
      <c r="C3" s="652"/>
      <c r="D3" s="652"/>
      <c r="E3" s="686"/>
      <c r="F3" s="686"/>
      <c r="G3" s="686"/>
      <c r="H3" s="686"/>
      <c r="I3" s="686"/>
      <c r="J3" s="686"/>
      <c r="K3" s="855"/>
      <c r="L3" s="294"/>
      <c r="M3" s="296"/>
    </row>
    <row r="4" spans="1:18" ht="34.5" customHeight="1" thickBot="1" x14ac:dyDescent="0.3">
      <c r="A4" s="297" t="s">
        <v>0</v>
      </c>
      <c r="B4" s="298" t="s">
        <v>1</v>
      </c>
      <c r="C4" s="299" t="s">
        <v>14</v>
      </c>
      <c r="D4" s="298" t="s">
        <v>58</v>
      </c>
      <c r="E4" s="655" t="s">
        <v>30</v>
      </c>
      <c r="F4" s="655" t="s">
        <v>2</v>
      </c>
      <c r="G4" s="688" t="s">
        <v>3</v>
      </c>
      <c r="H4" s="655" t="s">
        <v>4</v>
      </c>
      <c r="I4" s="688" t="s">
        <v>5</v>
      </c>
      <c r="J4" s="849" t="s">
        <v>31</v>
      </c>
      <c r="K4" s="856" t="s">
        <v>431</v>
      </c>
      <c r="L4" s="298" t="s">
        <v>18</v>
      </c>
      <c r="M4" s="301" t="s">
        <v>495</v>
      </c>
      <c r="Q4" s="945"/>
      <c r="R4" s="176" t="s">
        <v>136</v>
      </c>
    </row>
    <row r="5" spans="1:18" ht="38.25" customHeight="1" x14ac:dyDescent="0.25">
      <c r="A5" s="1123" t="s">
        <v>219</v>
      </c>
      <c r="B5" s="225" t="s">
        <v>158</v>
      </c>
      <c r="C5" s="31" t="s">
        <v>159</v>
      </c>
      <c r="D5" s="703" t="s">
        <v>401</v>
      </c>
      <c r="E5" s="316">
        <v>0.06</v>
      </c>
      <c r="F5" s="329">
        <f>E5*153939*(14.22/13.94)</f>
        <v>9421.8618938307045</v>
      </c>
      <c r="G5" s="329">
        <v>3366</v>
      </c>
      <c r="H5" s="315">
        <f>F5+G5</f>
        <v>12787.861893830705</v>
      </c>
      <c r="I5" s="330">
        <v>95</v>
      </c>
      <c r="J5" s="523">
        <f>H5*I5/100</f>
        <v>12148.468799139167</v>
      </c>
      <c r="K5" s="857">
        <v>11972.223</v>
      </c>
      <c r="L5" s="960" t="s">
        <v>136</v>
      </c>
      <c r="M5" s="941" t="s">
        <v>581</v>
      </c>
      <c r="Q5" s="946"/>
      <c r="R5" s="176" t="s">
        <v>496</v>
      </c>
    </row>
    <row r="6" spans="1:18" ht="15.75" customHeight="1" x14ac:dyDescent="0.25">
      <c r="A6" s="1124"/>
      <c r="B6" s="198" t="s">
        <v>160</v>
      </c>
      <c r="C6" s="198" t="s">
        <v>161</v>
      </c>
      <c r="D6" s="703" t="s">
        <v>402</v>
      </c>
      <c r="E6" s="332"/>
      <c r="F6" s="524"/>
      <c r="G6" s="334"/>
      <c r="H6" s="334"/>
      <c r="I6" s="334"/>
      <c r="J6" s="850"/>
      <c r="K6" s="951"/>
      <c r="L6" s="960" t="s">
        <v>136</v>
      </c>
      <c r="M6" s="943" t="s">
        <v>594</v>
      </c>
      <c r="Q6" s="947"/>
      <c r="R6" s="176" t="s">
        <v>497</v>
      </c>
    </row>
    <row r="7" spans="1:18" ht="42" customHeight="1" x14ac:dyDescent="0.25">
      <c r="A7" s="1124"/>
      <c r="B7" s="110" t="s">
        <v>162</v>
      </c>
      <c r="C7" s="110" t="s">
        <v>179</v>
      </c>
      <c r="D7" s="374" t="s">
        <v>293</v>
      </c>
      <c r="E7" s="711"/>
      <c r="F7" s="709"/>
      <c r="G7" s="334"/>
      <c r="H7" s="334"/>
      <c r="I7" s="334"/>
      <c r="J7" s="850"/>
      <c r="K7" s="951"/>
      <c r="L7" s="960" t="s">
        <v>136</v>
      </c>
      <c r="M7" s="1017" t="s">
        <v>595</v>
      </c>
      <c r="Q7" s="948"/>
      <c r="R7" s="176" t="s">
        <v>498</v>
      </c>
    </row>
    <row r="8" spans="1:18" ht="28.5" customHeight="1" x14ac:dyDescent="0.25">
      <c r="A8" s="1124"/>
      <c r="B8" s="142" t="s">
        <v>163</v>
      </c>
      <c r="C8" s="142" t="s">
        <v>101</v>
      </c>
      <c r="D8" s="142" t="s">
        <v>113</v>
      </c>
      <c r="E8" s="711"/>
      <c r="F8" s="709"/>
      <c r="G8" s="334"/>
      <c r="H8" s="334"/>
      <c r="I8" s="334"/>
      <c r="J8" s="850"/>
      <c r="K8" s="951"/>
      <c r="L8" s="960" t="s">
        <v>136</v>
      </c>
      <c r="M8" s="988" t="s">
        <v>498</v>
      </c>
    </row>
    <row r="9" spans="1:18" ht="29.25" customHeight="1" x14ac:dyDescent="0.25">
      <c r="A9" s="1125"/>
      <c r="B9" s="336" t="s">
        <v>164</v>
      </c>
      <c r="C9" s="110" t="s">
        <v>178</v>
      </c>
      <c r="D9" s="447" t="s">
        <v>314</v>
      </c>
      <c r="E9" s="712"/>
      <c r="F9" s="710"/>
      <c r="G9" s="338"/>
      <c r="H9" s="338"/>
      <c r="I9" s="338"/>
      <c r="J9" s="851"/>
      <c r="K9" s="952"/>
      <c r="L9" s="960" t="s">
        <v>136</v>
      </c>
      <c r="M9" s="988" t="s">
        <v>584</v>
      </c>
    </row>
    <row r="10" spans="1:18" ht="40.5" customHeight="1" x14ac:dyDescent="0.25">
      <c r="A10" s="1123" t="s">
        <v>213</v>
      </c>
      <c r="B10" s="181" t="s">
        <v>165</v>
      </c>
      <c r="C10" s="147" t="s">
        <v>318</v>
      </c>
      <c r="D10" s="110" t="s">
        <v>317</v>
      </c>
      <c r="E10" s="340">
        <v>0.2</v>
      </c>
      <c r="F10" s="341">
        <f>E10*153939*(14.22/13.94)</f>
        <v>31406.206312769016</v>
      </c>
      <c r="G10" s="341">
        <v>2955</v>
      </c>
      <c r="H10" s="341">
        <f>G10+F10</f>
        <v>34361.20631276902</v>
      </c>
      <c r="I10" s="342">
        <v>95</v>
      </c>
      <c r="J10" s="523">
        <f>H10*I10/100</f>
        <v>32643.145997130567</v>
      </c>
      <c r="K10" s="953">
        <v>24743.557499999999</v>
      </c>
      <c r="L10" s="960" t="s">
        <v>136</v>
      </c>
      <c r="M10" s="988" t="s">
        <v>585</v>
      </c>
    </row>
    <row r="11" spans="1:18" ht="29.25" customHeight="1" x14ac:dyDescent="0.25">
      <c r="A11" s="1124"/>
      <c r="B11" s="110" t="s">
        <v>83</v>
      </c>
      <c r="C11" s="110" t="s">
        <v>167</v>
      </c>
      <c r="D11" s="110" t="s">
        <v>33</v>
      </c>
      <c r="E11" s="817"/>
      <c r="F11" s="333"/>
      <c r="G11" s="334"/>
      <c r="H11" s="334"/>
      <c r="I11" s="334"/>
      <c r="J11" s="850"/>
      <c r="K11" s="951"/>
      <c r="L11" s="960" t="s">
        <v>136</v>
      </c>
      <c r="M11" s="988" t="s">
        <v>579</v>
      </c>
    </row>
    <row r="12" spans="1:18" ht="27.75" customHeight="1" x14ac:dyDescent="0.25">
      <c r="A12" s="1124"/>
      <c r="B12" s="110" t="s">
        <v>168</v>
      </c>
      <c r="C12" s="110" t="s">
        <v>169</v>
      </c>
      <c r="D12" s="110" t="s">
        <v>170</v>
      </c>
      <c r="E12" s="817"/>
      <c r="F12" s="333"/>
      <c r="G12" s="334"/>
      <c r="H12" s="334"/>
      <c r="I12" s="334"/>
      <c r="J12" s="850"/>
      <c r="K12" s="951"/>
      <c r="L12" s="960" t="s">
        <v>136</v>
      </c>
      <c r="M12" s="988" t="s">
        <v>498</v>
      </c>
    </row>
    <row r="13" spans="1:18" ht="28.5" customHeight="1" x14ac:dyDescent="0.25">
      <c r="A13" s="1125"/>
      <c r="B13" s="110" t="s">
        <v>171</v>
      </c>
      <c r="C13" s="110" t="s">
        <v>652</v>
      </c>
      <c r="D13" s="110" t="s">
        <v>172</v>
      </c>
      <c r="E13" s="818"/>
      <c r="F13" s="337"/>
      <c r="G13" s="338"/>
      <c r="H13" s="338"/>
      <c r="I13" s="338"/>
      <c r="J13" s="851"/>
      <c r="K13" s="952"/>
      <c r="L13" s="960" t="s">
        <v>136</v>
      </c>
      <c r="M13" s="988" t="s">
        <v>587</v>
      </c>
    </row>
    <row r="14" spans="1:18" ht="27.75" customHeight="1" x14ac:dyDescent="0.25">
      <c r="A14" s="971" t="s">
        <v>221</v>
      </c>
      <c r="B14" s="836" t="s">
        <v>409</v>
      </c>
      <c r="C14" s="836"/>
      <c r="D14" s="836"/>
      <c r="E14" s="347"/>
      <c r="F14" s="333"/>
      <c r="G14" s="334"/>
      <c r="H14" s="347"/>
      <c r="I14" s="334"/>
      <c r="J14" s="852"/>
      <c r="K14" s="858"/>
      <c r="L14" s="960" t="s">
        <v>136</v>
      </c>
      <c r="M14" s="988" t="s">
        <v>596</v>
      </c>
    </row>
    <row r="15" spans="1:18" ht="29.25" customHeight="1" thickBot="1" x14ac:dyDescent="0.3">
      <c r="A15" s="972"/>
      <c r="B15" s="753" t="s">
        <v>416</v>
      </c>
      <c r="C15" s="561" t="s">
        <v>321</v>
      </c>
      <c r="D15" s="561" t="s">
        <v>322</v>
      </c>
      <c r="E15" s="347"/>
      <c r="F15" s="333"/>
      <c r="G15" s="334"/>
      <c r="H15" s="347"/>
      <c r="I15" s="334"/>
      <c r="J15" s="852"/>
      <c r="K15" s="951"/>
      <c r="L15" s="960" t="s">
        <v>136</v>
      </c>
      <c r="M15" s="988" t="s">
        <v>589</v>
      </c>
    </row>
    <row r="16" spans="1:18" ht="17.25" customHeight="1" x14ac:dyDescent="0.25">
      <c r="A16" s="207" t="s">
        <v>198</v>
      </c>
      <c r="B16" s="643"/>
      <c r="C16" s="643"/>
      <c r="D16" s="643"/>
      <c r="E16" s="683"/>
      <c r="F16" s="683"/>
      <c r="G16" s="683"/>
      <c r="H16" s="683"/>
      <c r="I16" s="683"/>
      <c r="J16" s="683"/>
      <c r="K16" s="860"/>
      <c r="L16" s="691"/>
      <c r="M16" s="692"/>
    </row>
    <row r="17" spans="1:13" ht="36" customHeight="1" thickBot="1" x14ac:dyDescent="0.3">
      <c r="A17" s="685" t="s">
        <v>0</v>
      </c>
      <c r="B17" s="275" t="s">
        <v>1</v>
      </c>
      <c r="C17" s="276" t="s">
        <v>16</v>
      </c>
      <c r="D17" s="275" t="s">
        <v>58</v>
      </c>
      <c r="E17" s="659" t="s">
        <v>30</v>
      </c>
      <c r="F17" s="659" t="s">
        <v>2</v>
      </c>
      <c r="G17" s="660" t="s">
        <v>3</v>
      </c>
      <c r="H17" s="659" t="s">
        <v>4</v>
      </c>
      <c r="I17" s="661" t="s">
        <v>5</v>
      </c>
      <c r="J17" s="853" t="s">
        <v>31</v>
      </c>
      <c r="K17" s="861" t="s">
        <v>431</v>
      </c>
      <c r="L17" s="275" t="s">
        <v>18</v>
      </c>
      <c r="M17" s="277" t="s">
        <v>495</v>
      </c>
    </row>
    <row r="18" spans="1:13" ht="79.5" customHeight="1" thickBot="1" x14ac:dyDescent="0.3">
      <c r="A18" s="405" t="s">
        <v>204</v>
      </c>
      <c r="B18" s="406" t="s">
        <v>156</v>
      </c>
      <c r="C18" s="407" t="s">
        <v>157</v>
      </c>
      <c r="D18" s="172" t="s">
        <v>251</v>
      </c>
      <c r="E18" s="809">
        <v>0.28649999999999998</v>
      </c>
      <c r="F18" s="325">
        <f>E18*176702*(14.22/13.94)</f>
        <v>51641.98343328551</v>
      </c>
      <c r="G18" s="326">
        <v>0</v>
      </c>
      <c r="H18" s="495">
        <f>F18+G18</f>
        <v>51641.98343328551</v>
      </c>
      <c r="I18" s="327">
        <v>100</v>
      </c>
      <c r="J18" s="325">
        <f>H18*I18/100</f>
        <v>51641.983433285517</v>
      </c>
      <c r="K18" s="862">
        <v>50625.122999999992</v>
      </c>
      <c r="L18" s="960" t="s">
        <v>136</v>
      </c>
      <c r="M18" s="938"/>
    </row>
    <row r="19" spans="1:13" ht="18" customHeight="1" x14ac:dyDescent="0.25">
      <c r="A19" s="624" t="s">
        <v>209</v>
      </c>
      <c r="B19" s="625"/>
      <c r="C19" s="625"/>
      <c r="D19" s="625"/>
      <c r="E19" s="625"/>
      <c r="F19" s="625"/>
      <c r="G19" s="625"/>
      <c r="H19" s="625"/>
      <c r="I19" s="625"/>
      <c r="J19" s="625"/>
      <c r="K19" s="863"/>
      <c r="L19" s="625"/>
      <c r="M19" s="626"/>
    </row>
    <row r="20" spans="1:13" ht="31.5" customHeight="1" thickBot="1" x14ac:dyDescent="0.3">
      <c r="A20" s="627" t="s">
        <v>0</v>
      </c>
      <c r="B20" s="628" t="s">
        <v>1</v>
      </c>
      <c r="C20" s="630" t="s">
        <v>14</v>
      </c>
      <c r="D20" s="628" t="s">
        <v>58</v>
      </c>
      <c r="E20" s="628" t="s">
        <v>30</v>
      </c>
      <c r="F20" s="628" t="s">
        <v>2</v>
      </c>
      <c r="G20" s="628" t="s">
        <v>3</v>
      </c>
      <c r="H20" s="628" t="s">
        <v>4</v>
      </c>
      <c r="I20" s="628" t="s">
        <v>55</v>
      </c>
      <c r="J20" s="630" t="s">
        <v>56</v>
      </c>
      <c r="K20" s="864" t="s">
        <v>431</v>
      </c>
      <c r="L20" s="628" t="s">
        <v>18</v>
      </c>
      <c r="M20" s="629" t="s">
        <v>495</v>
      </c>
    </row>
    <row r="21" spans="1:13" ht="26.25" customHeight="1" x14ac:dyDescent="0.25">
      <c r="A21" s="1049" t="s">
        <v>214</v>
      </c>
      <c r="B21" s="139" t="s">
        <v>85</v>
      </c>
      <c r="C21" s="139" t="s">
        <v>75</v>
      </c>
      <c r="D21" s="478" t="s">
        <v>413</v>
      </c>
      <c r="E21" s="801">
        <v>0.37</v>
      </c>
      <c r="F21" s="314">
        <f>E21*153816*(14.22/13.94)</f>
        <v>58055.05756097562</v>
      </c>
      <c r="G21" s="314">
        <v>195313</v>
      </c>
      <c r="H21" s="315">
        <f>F21+G21</f>
        <v>253368.05756097561</v>
      </c>
      <c r="I21" s="1149">
        <v>95</v>
      </c>
      <c r="J21" s="329">
        <f>H21*I21/100</f>
        <v>240699.65468292683</v>
      </c>
      <c r="K21" s="956">
        <v>239613.674</v>
      </c>
      <c r="L21" s="964" t="s">
        <v>136</v>
      </c>
      <c r="M21" s="1150" t="s">
        <v>355</v>
      </c>
    </row>
    <row r="22" spans="1:13" ht="15" customHeight="1" x14ac:dyDescent="0.25">
      <c r="A22" s="1050"/>
      <c r="B22" s="140"/>
      <c r="C22" s="140"/>
      <c r="D22" s="448" t="s">
        <v>403</v>
      </c>
      <c r="E22" s="317"/>
      <c r="F22" s="318"/>
      <c r="G22" s="319"/>
      <c r="H22" s="320"/>
      <c r="I22" s="319"/>
      <c r="J22" s="320"/>
      <c r="K22" s="957"/>
      <c r="L22" s="960" t="s">
        <v>136</v>
      </c>
      <c r="M22" s="955" t="s">
        <v>355</v>
      </c>
    </row>
    <row r="23" spans="1:13" ht="27" customHeight="1" x14ac:dyDescent="0.25">
      <c r="A23" s="1050"/>
      <c r="B23" s="141" t="s">
        <v>76</v>
      </c>
      <c r="C23" s="141" t="s">
        <v>77</v>
      </c>
      <c r="D23" s="1021" t="s">
        <v>404</v>
      </c>
      <c r="E23" s="547"/>
      <c r="F23" s="521"/>
      <c r="G23" s="548"/>
      <c r="H23" s="549"/>
      <c r="I23" s="548"/>
      <c r="J23" s="549"/>
      <c r="K23" s="958"/>
      <c r="L23" s="960" t="s">
        <v>136</v>
      </c>
      <c r="M23" s="955" t="s">
        <v>591</v>
      </c>
    </row>
    <row r="24" spans="1:13" ht="28.5" customHeight="1" x14ac:dyDescent="0.25">
      <c r="A24" s="1050"/>
      <c r="B24" s="146" t="s">
        <v>78</v>
      </c>
      <c r="C24" s="146" t="s">
        <v>79</v>
      </c>
      <c r="D24" s="1020" t="s">
        <v>405</v>
      </c>
      <c r="E24" s="550"/>
      <c r="F24" s="322"/>
      <c r="G24" s="324"/>
      <c r="H24" s="323"/>
      <c r="I24" s="324"/>
      <c r="J24" s="323"/>
      <c r="K24" s="957"/>
      <c r="L24" s="960" t="s">
        <v>136</v>
      </c>
      <c r="M24" s="955" t="s">
        <v>592</v>
      </c>
    </row>
    <row r="25" spans="1:13" ht="25.5" customHeight="1" x14ac:dyDescent="0.25">
      <c r="A25" s="1050"/>
      <c r="B25" s="129"/>
      <c r="C25" s="129" t="s">
        <v>80</v>
      </c>
      <c r="D25" s="448" t="s">
        <v>406</v>
      </c>
      <c r="E25" s="317"/>
      <c r="F25" s="318"/>
      <c r="G25" s="319"/>
      <c r="H25" s="320"/>
      <c r="I25" s="319"/>
      <c r="J25" s="320"/>
      <c r="K25" s="957"/>
      <c r="L25" s="960" t="s">
        <v>136</v>
      </c>
      <c r="M25" s="955" t="s">
        <v>592</v>
      </c>
    </row>
    <row r="26" spans="1:13" ht="40.5" customHeight="1" x14ac:dyDescent="0.25">
      <c r="A26" s="1050"/>
      <c r="B26" s="129"/>
      <c r="C26" s="129" t="s">
        <v>86</v>
      </c>
      <c r="D26" s="448" t="s">
        <v>516</v>
      </c>
      <c r="E26" s="317"/>
      <c r="F26" s="318"/>
      <c r="G26" s="319"/>
      <c r="H26" s="320"/>
      <c r="I26" s="319"/>
      <c r="J26" s="320"/>
      <c r="K26" s="957"/>
      <c r="L26" s="960" t="s">
        <v>136</v>
      </c>
      <c r="M26" s="995"/>
    </row>
    <row r="27" spans="1:13" ht="27" customHeight="1" x14ac:dyDescent="0.25">
      <c r="A27" s="1071"/>
      <c r="B27" s="143" t="s">
        <v>82</v>
      </c>
      <c r="C27" s="144" t="s">
        <v>87</v>
      </c>
      <c r="D27" s="561" t="s">
        <v>407</v>
      </c>
      <c r="E27" s="547"/>
      <c r="F27" s="521"/>
      <c r="G27" s="548"/>
      <c r="H27" s="549"/>
      <c r="I27" s="548"/>
      <c r="J27" s="549"/>
      <c r="K27" s="958"/>
      <c r="L27" s="1151" t="s">
        <v>136</v>
      </c>
      <c r="M27" s="1152" t="s">
        <v>593</v>
      </c>
    </row>
    <row r="28" spans="1:13" ht="27.75" customHeight="1" x14ac:dyDescent="0.25">
      <c r="A28" s="145" t="s">
        <v>217</v>
      </c>
      <c r="B28" s="144" t="s">
        <v>286</v>
      </c>
      <c r="C28" s="144" t="s">
        <v>88</v>
      </c>
      <c r="D28" s="561" t="s">
        <v>320</v>
      </c>
      <c r="E28" s="580">
        <v>0.1</v>
      </c>
      <c r="F28" s="341">
        <f>E28*153816*(14.22/13.94)</f>
        <v>15690.556097560979</v>
      </c>
      <c r="G28" s="774"/>
      <c r="H28" s="581">
        <f>F28+G28</f>
        <v>15690.556097560979</v>
      </c>
      <c r="I28" s="340">
        <v>95</v>
      </c>
      <c r="J28" s="581">
        <f>H28*I28/100</f>
        <v>14906.02829268293</v>
      </c>
      <c r="K28" s="1153">
        <v>98104.22</v>
      </c>
      <c r="L28" s="960" t="s">
        <v>136</v>
      </c>
      <c r="M28" s="1154" t="s">
        <v>355</v>
      </c>
    </row>
    <row r="29" spans="1:13" ht="29.25" customHeight="1" x14ac:dyDescent="0.25">
      <c r="A29" s="89"/>
      <c r="B29" s="144" t="s">
        <v>89</v>
      </c>
      <c r="C29" s="144" t="s">
        <v>90</v>
      </c>
      <c r="D29" s="561" t="s">
        <v>319</v>
      </c>
      <c r="E29" s="317"/>
      <c r="F29" s="318"/>
      <c r="G29" s="320"/>
      <c r="H29" s="320"/>
      <c r="I29" s="319"/>
      <c r="J29" s="320"/>
      <c r="K29" s="957"/>
      <c r="L29" s="960" t="s">
        <v>136</v>
      </c>
      <c r="M29" s="955" t="s">
        <v>355</v>
      </c>
    </row>
    <row r="30" spans="1:13" ht="30" customHeight="1" thickBot="1" x14ac:dyDescent="0.3">
      <c r="A30" s="569" t="s">
        <v>218</v>
      </c>
      <c r="B30" s="373" t="s">
        <v>83</v>
      </c>
      <c r="C30" s="302" t="s">
        <v>84</v>
      </c>
      <c r="D30" s="197" t="s">
        <v>91</v>
      </c>
      <c r="E30" s="580">
        <v>0.03</v>
      </c>
      <c r="F30" s="341">
        <f>E30*153816*(14.22/13.94)</f>
        <v>4707.1668292682925</v>
      </c>
      <c r="G30" s="340">
        <v>0</v>
      </c>
      <c r="H30" s="581">
        <f>F30+G30</f>
        <v>4707.1668292682925</v>
      </c>
      <c r="I30" s="340">
        <v>95</v>
      </c>
      <c r="J30" s="581">
        <f>H30*I30/100</f>
        <v>4471.8084878048776</v>
      </c>
      <c r="K30" s="957">
        <v>4383.7559999999994</v>
      </c>
      <c r="L30" s="960" t="s">
        <v>136</v>
      </c>
      <c r="M30" s="955"/>
    </row>
    <row r="31" spans="1:13" ht="16.5" thickBot="1" x14ac:dyDescent="0.3">
      <c r="A31" s="36" t="s">
        <v>199</v>
      </c>
      <c r="B31" s="27"/>
      <c r="C31" s="24"/>
      <c r="D31" s="25"/>
      <c r="E31" s="25"/>
      <c r="F31" s="25"/>
      <c r="G31" s="25"/>
      <c r="H31" s="25"/>
      <c r="I31" s="25"/>
      <c r="J31" s="25"/>
      <c r="K31" s="25"/>
      <c r="L31" s="25"/>
      <c r="M31" s="944"/>
    </row>
    <row r="32" spans="1:13" ht="15.75" x14ac:dyDescent="0.25">
      <c r="A32" s="193" t="s">
        <v>206</v>
      </c>
      <c r="B32" s="664"/>
      <c r="C32" s="664"/>
      <c r="D32" s="664"/>
      <c r="E32" s="664"/>
      <c r="F32" s="664"/>
      <c r="G32" s="664"/>
      <c r="H32" s="664"/>
      <c r="I32" s="664"/>
      <c r="J32" s="664"/>
      <c r="K32" s="664"/>
      <c r="L32" s="664"/>
      <c r="M32" s="954"/>
    </row>
    <row r="33" spans="1:13" ht="33.75" customHeight="1" thickBot="1" x14ac:dyDescent="0.3">
      <c r="A33" s="279" t="s">
        <v>0</v>
      </c>
      <c r="B33" s="267" t="s">
        <v>1</v>
      </c>
      <c r="C33" s="280" t="s">
        <v>14</v>
      </c>
      <c r="D33" s="267" t="s">
        <v>58</v>
      </c>
      <c r="E33" s="267" t="s">
        <v>58</v>
      </c>
      <c r="F33" s="267" t="s">
        <v>58</v>
      </c>
      <c r="G33" s="267" t="s">
        <v>58</v>
      </c>
      <c r="H33" s="267" t="s">
        <v>58</v>
      </c>
      <c r="I33" s="267" t="s">
        <v>58</v>
      </c>
      <c r="J33" s="267" t="s">
        <v>58</v>
      </c>
      <c r="K33" s="267" t="s">
        <v>58</v>
      </c>
      <c r="L33" s="267" t="s">
        <v>18</v>
      </c>
      <c r="M33" s="281" t="s">
        <v>495</v>
      </c>
    </row>
    <row r="34" spans="1:13" ht="25.5" x14ac:dyDescent="0.25">
      <c r="A34" s="1049" t="s">
        <v>651</v>
      </c>
      <c r="B34" s="1053" t="s">
        <v>174</v>
      </c>
      <c r="C34" s="349" t="s">
        <v>9</v>
      </c>
      <c r="D34" s="349" t="s">
        <v>9</v>
      </c>
      <c r="E34" s="811">
        <v>0.55110000000000003</v>
      </c>
      <c r="F34" s="344">
        <f>E34*128495*(14.22/13.94)</f>
        <v>72235.962251793419</v>
      </c>
      <c r="G34" s="346">
        <v>25687</v>
      </c>
      <c r="H34" s="522">
        <f>G34+F34</f>
        <v>97922.962251793419</v>
      </c>
      <c r="I34" s="345">
        <v>100</v>
      </c>
      <c r="J34" s="346">
        <f>H34*I34/100</f>
        <v>97922.962251793419</v>
      </c>
      <c r="K34" s="953">
        <v>96500.594500000007</v>
      </c>
      <c r="L34" s="960" t="s">
        <v>136</v>
      </c>
      <c r="M34" s="1012" t="s">
        <v>543</v>
      </c>
    </row>
    <row r="35" spans="1:13" ht="27.75" customHeight="1" x14ac:dyDescent="0.25">
      <c r="A35" s="1071"/>
      <c r="B35" s="1126"/>
      <c r="C35" s="352" t="s">
        <v>175</v>
      </c>
      <c r="D35" s="352" t="s">
        <v>175</v>
      </c>
      <c r="E35" s="388"/>
      <c r="F35" s="389"/>
      <c r="G35" s="390"/>
      <c r="H35" s="391"/>
      <c r="I35" s="361"/>
      <c r="J35" s="389"/>
      <c r="K35" s="959"/>
      <c r="L35" s="960" t="s">
        <v>136</v>
      </c>
      <c r="M35" s="942" t="s">
        <v>532</v>
      </c>
    </row>
    <row r="36" spans="1:13" ht="40.5" customHeight="1" x14ac:dyDescent="0.25">
      <c r="A36" s="89" t="s">
        <v>216</v>
      </c>
      <c r="B36" s="198" t="s">
        <v>117</v>
      </c>
      <c r="C36" s="360" t="s">
        <v>176</v>
      </c>
      <c r="D36" s="360" t="s">
        <v>176</v>
      </c>
      <c r="E36" s="361"/>
      <c r="F36" s="389"/>
      <c r="G36" s="389"/>
      <c r="H36" s="363"/>
      <c r="I36" s="361"/>
      <c r="J36" s="389"/>
      <c r="K36" s="959"/>
      <c r="L36" s="1062" t="s">
        <v>136</v>
      </c>
      <c r="M36" s="1002"/>
    </row>
    <row r="37" spans="1:13" ht="42.75" customHeight="1" thickBot="1" x14ac:dyDescent="0.3">
      <c r="A37" s="223"/>
      <c r="B37" s="360" t="s">
        <v>177</v>
      </c>
      <c r="C37" s="419"/>
      <c r="D37" s="419"/>
      <c r="E37" s="388"/>
      <c r="F37" s="389"/>
      <c r="G37" s="361"/>
      <c r="H37" s="389"/>
      <c r="I37" s="361"/>
      <c r="J37" s="389"/>
      <c r="K37" s="959"/>
      <c r="L37" s="1067"/>
      <c r="M37" s="1003"/>
    </row>
    <row r="38" spans="1:13" ht="15.75" x14ac:dyDescent="0.25">
      <c r="A38" s="205" t="s">
        <v>208</v>
      </c>
      <c r="B38" s="672"/>
      <c r="C38" s="672"/>
      <c r="D38" s="672"/>
      <c r="E38" s="678"/>
      <c r="F38" s="678"/>
      <c r="G38" s="678"/>
      <c r="H38" s="678"/>
      <c r="I38" s="678"/>
      <c r="J38" s="678"/>
      <c r="K38" s="865"/>
      <c r="L38" s="206"/>
      <c r="M38" s="210"/>
    </row>
    <row r="39" spans="1:13" ht="31.5" customHeight="1" thickBot="1" x14ac:dyDescent="0.3">
      <c r="A39" s="271" t="s">
        <v>0</v>
      </c>
      <c r="B39" s="266" t="s">
        <v>1</v>
      </c>
      <c r="C39" s="272" t="s">
        <v>14</v>
      </c>
      <c r="D39" s="266" t="s">
        <v>58</v>
      </c>
      <c r="E39" s="675" t="s">
        <v>30</v>
      </c>
      <c r="F39" s="675" t="s">
        <v>2</v>
      </c>
      <c r="G39" s="676" t="s">
        <v>3</v>
      </c>
      <c r="H39" s="675" t="s">
        <v>4</v>
      </c>
      <c r="I39" s="676" t="s">
        <v>5</v>
      </c>
      <c r="J39" s="854" t="s">
        <v>31</v>
      </c>
      <c r="K39" s="866" t="s">
        <v>431</v>
      </c>
      <c r="L39" s="266" t="s">
        <v>18</v>
      </c>
      <c r="M39" s="273" t="s">
        <v>495</v>
      </c>
    </row>
    <row r="40" spans="1:13" ht="27" customHeight="1" x14ac:dyDescent="0.25">
      <c r="A40" s="1050" t="s">
        <v>203</v>
      </c>
      <c r="B40" s="1053" t="s">
        <v>10</v>
      </c>
      <c r="C40" s="462" t="s">
        <v>19</v>
      </c>
      <c r="D40" s="103" t="s">
        <v>245</v>
      </c>
      <c r="E40" s="701">
        <v>0</v>
      </c>
      <c r="F40" s="344">
        <v>0</v>
      </c>
      <c r="G40" s="344">
        <f>71*21.42</f>
        <v>1520.8200000000002</v>
      </c>
      <c r="H40" s="346">
        <f>G40+F40</f>
        <v>1520.8200000000002</v>
      </c>
      <c r="I40" s="345">
        <v>100</v>
      </c>
      <c r="J40" s="346">
        <f>H40*I40/100</f>
        <v>1520.8200000000004</v>
      </c>
      <c r="K40" s="859">
        <v>1553.48</v>
      </c>
      <c r="L40" s="960" t="s">
        <v>136</v>
      </c>
      <c r="M40" s="1039" t="s">
        <v>548</v>
      </c>
    </row>
    <row r="41" spans="1:13" ht="30" customHeight="1" thickBot="1" x14ac:dyDescent="0.3">
      <c r="A41" s="1052"/>
      <c r="B41" s="1054"/>
      <c r="C41" s="463" t="s">
        <v>11</v>
      </c>
      <c r="D41" s="196" t="s">
        <v>246</v>
      </c>
      <c r="E41" s="367"/>
      <c r="F41" s="368"/>
      <c r="G41" s="368"/>
      <c r="H41" s="368"/>
      <c r="I41" s="368"/>
      <c r="J41" s="368"/>
      <c r="K41" s="970"/>
      <c r="L41" s="961" t="s">
        <v>136</v>
      </c>
      <c r="M41" s="1040"/>
    </row>
    <row r="42" spans="1:13" ht="8.25" customHeight="1" thickBot="1" x14ac:dyDescent="0.3">
      <c r="A42" s="369"/>
      <c r="B42" s="83"/>
      <c r="C42" s="369"/>
      <c r="D42" s="369"/>
      <c r="F42" s="877" t="s">
        <v>432</v>
      </c>
      <c r="K42" s="814"/>
    </row>
    <row r="43" spans="1:13" ht="15.75" thickBot="1" x14ac:dyDescent="0.3">
      <c r="A43" s="369"/>
      <c r="B43" s="1045" t="s">
        <v>12</v>
      </c>
      <c r="C43" s="218" t="s">
        <v>13</v>
      </c>
      <c r="D43" s="464">
        <v>260077.49146341463</v>
      </c>
      <c r="E43" s="815"/>
      <c r="F43" s="841">
        <v>342101.64999999997</v>
      </c>
      <c r="G43" s="458"/>
      <c r="H43" s="848" t="s">
        <v>301</v>
      </c>
      <c r="I43" s="458"/>
      <c r="K43" s="784"/>
    </row>
    <row r="44" spans="1:13" ht="15.75" thickBot="1" x14ac:dyDescent="0.3">
      <c r="A44" s="369"/>
      <c r="B44" s="1046"/>
      <c r="C44" s="217" t="s">
        <v>20</v>
      </c>
      <c r="D44" s="465">
        <v>51641.983433285517</v>
      </c>
      <c r="F44" s="842">
        <v>50625.122999999992</v>
      </c>
      <c r="G44" s="816"/>
      <c r="H44" s="848" t="s">
        <v>302</v>
      </c>
      <c r="I44" s="816"/>
      <c r="K44" s="699"/>
    </row>
    <row r="45" spans="1:13" ht="15.75" thickBot="1" x14ac:dyDescent="0.3">
      <c r="A45" s="369"/>
      <c r="B45" s="1046"/>
      <c r="C45" s="217" t="s">
        <v>24</v>
      </c>
      <c r="D45" s="464">
        <v>54022.562794835016</v>
      </c>
      <c r="E45" s="815"/>
      <c r="F45" s="843">
        <v>58652.088000000003</v>
      </c>
      <c r="G45" s="458"/>
      <c r="I45" s="458"/>
      <c r="J45" s="458"/>
      <c r="K45" s="699"/>
    </row>
    <row r="46" spans="1:13" x14ac:dyDescent="0.25">
      <c r="A46" s="369"/>
      <c r="B46" s="1046"/>
      <c r="C46" s="237" t="s">
        <v>21</v>
      </c>
      <c r="D46" s="470">
        <v>99443.782251793426</v>
      </c>
      <c r="F46" s="844">
        <v>98054.074500000002</v>
      </c>
      <c r="G46" s="791"/>
      <c r="I46" s="791"/>
      <c r="J46" s="791"/>
      <c r="K46" s="700"/>
    </row>
    <row r="47" spans="1:13" hidden="1" x14ac:dyDescent="0.25">
      <c r="A47" s="369"/>
      <c r="B47" s="1047"/>
      <c r="C47" s="238" t="s">
        <v>25</v>
      </c>
      <c r="D47" s="467">
        <v>97922.962251793419</v>
      </c>
      <c r="F47" s="845">
        <v>96500.594500000007</v>
      </c>
      <c r="G47" s="791"/>
      <c r="I47" s="791"/>
      <c r="J47" s="791"/>
      <c r="K47" s="699"/>
    </row>
    <row r="48" spans="1:13" ht="15.75" hidden="1" thickBot="1" x14ac:dyDescent="0.3">
      <c r="A48" s="369"/>
      <c r="B48" s="1047"/>
      <c r="C48" s="239" t="s">
        <v>26</v>
      </c>
      <c r="D48" s="468">
        <v>1520.8200000000002</v>
      </c>
      <c r="F48" s="846">
        <v>1553.48</v>
      </c>
      <c r="K48" s="699"/>
    </row>
    <row r="49" spans="1:12" ht="15.75" thickBot="1" x14ac:dyDescent="0.3">
      <c r="A49" s="369"/>
      <c r="B49" s="1048"/>
      <c r="C49" s="240" t="s">
        <v>23</v>
      </c>
      <c r="D49" s="469">
        <v>465185.81994332856</v>
      </c>
      <c r="E49" s="136"/>
      <c r="F49" s="847">
        <v>549432.93549999991</v>
      </c>
      <c r="K49" s="699"/>
    </row>
    <row r="51" spans="1:12" x14ac:dyDescent="0.25">
      <c r="A51" s="178"/>
      <c r="B51" s="178"/>
      <c r="C51" s="178"/>
      <c r="D51" s="178"/>
      <c r="E51" s="178"/>
      <c r="F51" s="178"/>
      <c r="G51" s="178"/>
      <c r="H51" s="178"/>
      <c r="I51" s="178"/>
      <c r="J51" s="178"/>
    </row>
    <row r="52" spans="1:12" x14ac:dyDescent="0.25">
      <c r="A52" s="178"/>
      <c r="B52" s="178"/>
      <c r="C52" s="178"/>
      <c r="D52" s="178"/>
      <c r="E52" s="178"/>
      <c r="F52" s="178"/>
      <c r="G52" s="178"/>
      <c r="H52" s="178"/>
      <c r="I52" s="178"/>
      <c r="J52" s="178"/>
    </row>
    <row r="53" spans="1:12" x14ac:dyDescent="0.25">
      <c r="A53" s="178"/>
      <c r="B53" s="178"/>
      <c r="C53" s="178"/>
      <c r="D53" s="178"/>
      <c r="E53" s="178"/>
      <c r="F53" s="178"/>
      <c r="G53" s="178"/>
      <c r="H53" s="178"/>
      <c r="I53" s="178"/>
      <c r="J53" s="178"/>
    </row>
    <row r="54" spans="1:12" x14ac:dyDescent="0.25">
      <c r="A54" s="178"/>
      <c r="B54" s="178"/>
      <c r="C54" s="178"/>
      <c r="D54" s="178"/>
      <c r="E54" s="178"/>
      <c r="F54" s="178"/>
      <c r="G54" s="178"/>
      <c r="H54" s="178"/>
      <c r="I54" s="178"/>
      <c r="J54" s="178"/>
    </row>
    <row r="55" spans="1:12" x14ac:dyDescent="0.25">
      <c r="A55" s="178"/>
      <c r="B55" s="178"/>
      <c r="C55" s="821"/>
      <c r="D55" s="822"/>
      <c r="E55" s="823"/>
      <c r="F55" s="821"/>
      <c r="G55" s="178"/>
      <c r="H55" s="178"/>
      <c r="I55" s="178"/>
      <c r="J55" s="178"/>
    </row>
    <row r="56" spans="1:12" x14ac:dyDescent="0.25">
      <c r="A56" s="178"/>
      <c r="B56" s="178"/>
      <c r="C56" s="178"/>
      <c r="D56" s="178"/>
      <c r="E56" s="824"/>
      <c r="F56" s="178"/>
      <c r="G56" s="178"/>
      <c r="H56" s="178"/>
      <c r="I56" s="178"/>
      <c r="J56" s="178"/>
    </row>
    <row r="57" spans="1:12" x14ac:dyDescent="0.25">
      <c r="A57" s="178"/>
      <c r="B57" s="178"/>
      <c r="C57" s="825"/>
      <c r="D57" s="825"/>
      <c r="E57" s="186"/>
      <c r="F57" s="186"/>
      <c r="G57" s="178"/>
      <c r="H57" s="178"/>
      <c r="I57" s="178"/>
      <c r="J57" s="178"/>
    </row>
    <row r="58" spans="1:12" x14ac:dyDescent="0.25">
      <c r="A58" s="178"/>
      <c r="B58" s="821"/>
      <c r="C58" s="826"/>
      <c r="D58" s="825"/>
      <c r="E58" s="827"/>
      <c r="F58" s="827"/>
      <c r="G58" s="178"/>
      <c r="H58" s="827"/>
      <c r="I58" s="178"/>
      <c r="J58" s="178"/>
    </row>
    <row r="59" spans="1:12" x14ac:dyDescent="0.25">
      <c r="A59" s="178"/>
      <c r="B59" s="821"/>
      <c r="C59" s="778"/>
      <c r="D59" s="778"/>
      <c r="E59" s="778"/>
      <c r="F59" s="828"/>
      <c r="G59" s="178"/>
      <c r="H59" s="829"/>
      <c r="I59" s="178"/>
      <c r="J59" s="178"/>
    </row>
    <row r="60" spans="1:12" x14ac:dyDescent="0.25">
      <c r="A60" s="178"/>
      <c r="B60" s="178"/>
      <c r="C60" s="777"/>
      <c r="D60" s="778"/>
      <c r="E60" s="778"/>
      <c r="F60" s="828"/>
      <c r="G60" s="178"/>
      <c r="H60" s="829"/>
      <c r="I60" s="178"/>
      <c r="J60" s="178"/>
    </row>
    <row r="61" spans="1:12" x14ac:dyDescent="0.25">
      <c r="A61" s="178"/>
      <c r="B61" s="178"/>
      <c r="C61" s="778"/>
      <c r="D61" s="775"/>
      <c r="E61" s="775"/>
      <c r="F61" s="829"/>
      <c r="G61" s="178"/>
      <c r="H61" s="829"/>
      <c r="I61" s="178"/>
      <c r="J61" s="178"/>
    </row>
    <row r="62" spans="1:12" x14ac:dyDescent="0.25">
      <c r="A62" s="178"/>
      <c r="B62" s="178"/>
      <c r="C62" s="778"/>
      <c r="D62" s="777"/>
      <c r="E62" s="778"/>
      <c r="F62" s="828"/>
      <c r="G62" s="178"/>
      <c r="H62" s="829"/>
      <c r="I62" s="178"/>
      <c r="J62" s="178"/>
    </row>
    <row r="63" spans="1:12" x14ac:dyDescent="0.25">
      <c r="A63" s="178"/>
      <c r="B63" s="178"/>
      <c r="C63" s="830"/>
      <c r="D63" s="178"/>
      <c r="E63" s="178"/>
      <c r="F63" s="829"/>
      <c r="G63" s="178"/>
      <c r="H63" s="829"/>
      <c r="I63" s="178"/>
      <c r="J63" s="178"/>
    </row>
    <row r="64" spans="1:12" x14ac:dyDescent="0.25">
      <c r="A64" s="178"/>
      <c r="B64" s="178"/>
      <c r="C64" s="778"/>
      <c r="D64" s="777"/>
      <c r="E64" s="778"/>
      <c r="F64" s="828"/>
      <c r="G64" s="178"/>
      <c r="H64" s="829"/>
      <c r="I64" s="178"/>
      <c r="J64" s="178"/>
      <c r="L64" s="779"/>
    </row>
    <row r="65" spans="1:12" x14ac:dyDescent="0.25">
      <c r="A65" s="178"/>
      <c r="B65" s="178"/>
      <c r="C65" s="778"/>
      <c r="D65" s="777"/>
      <c r="E65" s="778"/>
      <c r="F65" s="828"/>
      <c r="G65" s="178"/>
      <c r="H65" s="829"/>
      <c r="I65" s="178"/>
      <c r="J65" s="178"/>
      <c r="L65" s="779"/>
    </row>
    <row r="66" spans="1:12" x14ac:dyDescent="0.25">
      <c r="A66" s="178"/>
      <c r="B66" s="178"/>
      <c r="C66" s="778"/>
      <c r="D66" s="776"/>
      <c r="E66" s="775"/>
      <c r="F66" s="829"/>
      <c r="G66" s="178"/>
      <c r="H66" s="829"/>
      <c r="I66" s="178"/>
      <c r="J66" s="178"/>
      <c r="L66" s="779"/>
    </row>
    <row r="67" spans="1:12" x14ac:dyDescent="0.25">
      <c r="A67" s="178"/>
      <c r="B67" s="178"/>
      <c r="C67" s="778"/>
      <c r="D67" s="777"/>
      <c r="E67" s="778"/>
      <c r="F67" s="828"/>
      <c r="G67" s="178"/>
      <c r="H67" s="829"/>
      <c r="I67" s="178"/>
      <c r="J67" s="178"/>
      <c r="L67" s="779"/>
    </row>
    <row r="68" spans="1:12" x14ac:dyDescent="0.25">
      <c r="A68" s="178"/>
      <c r="B68" s="178"/>
      <c r="C68" s="178"/>
      <c r="D68" s="178"/>
      <c r="E68" s="178"/>
      <c r="F68" s="831"/>
      <c r="G68" s="178"/>
      <c r="H68" s="831"/>
      <c r="I68" s="178"/>
      <c r="J68" s="178"/>
      <c r="L68" s="779"/>
    </row>
    <row r="69" spans="1:12" x14ac:dyDescent="0.25">
      <c r="A69" s="178"/>
      <c r="B69" s="178"/>
      <c r="C69" s="178"/>
      <c r="D69" s="178"/>
      <c r="E69" s="178"/>
      <c r="F69" s="831"/>
      <c r="G69" s="178"/>
      <c r="H69" s="831"/>
      <c r="I69" s="178"/>
      <c r="J69" s="178"/>
      <c r="L69" s="779"/>
    </row>
    <row r="70" spans="1:12" x14ac:dyDescent="0.25">
      <c r="A70" s="178"/>
      <c r="B70" s="178"/>
      <c r="C70" s="825"/>
      <c r="D70" s="825"/>
      <c r="E70" s="186"/>
      <c r="F70" s="829"/>
      <c r="G70" s="178"/>
      <c r="H70" s="831"/>
      <c r="I70" s="178"/>
      <c r="J70" s="178"/>
      <c r="L70" s="779"/>
    </row>
    <row r="71" spans="1:12" x14ac:dyDescent="0.25">
      <c r="A71" s="178"/>
      <c r="B71" s="178"/>
      <c r="C71" s="826"/>
      <c r="D71" s="825"/>
      <c r="E71" s="827"/>
      <c r="F71" s="832"/>
      <c r="G71" s="178"/>
      <c r="H71" s="831"/>
      <c r="I71" s="178"/>
      <c r="J71" s="178"/>
      <c r="L71" s="779"/>
    </row>
    <row r="72" spans="1:12" x14ac:dyDescent="0.25">
      <c r="A72" s="178"/>
      <c r="B72" s="178"/>
      <c r="C72" s="186"/>
      <c r="D72" s="186"/>
      <c r="E72" s="186"/>
      <c r="F72" s="829"/>
      <c r="G72" s="178"/>
      <c r="H72" s="829"/>
      <c r="I72" s="178"/>
      <c r="J72" s="833"/>
    </row>
    <row r="73" spans="1:12" x14ac:dyDescent="0.25">
      <c r="A73" s="178"/>
      <c r="B73" s="178"/>
      <c r="C73" s="178"/>
      <c r="D73" s="186"/>
      <c r="E73" s="186"/>
      <c r="F73" s="829"/>
      <c r="G73" s="178"/>
      <c r="H73" s="829"/>
      <c r="I73" s="178"/>
      <c r="J73" s="833"/>
    </row>
    <row r="74" spans="1:12" x14ac:dyDescent="0.25">
      <c r="A74" s="178"/>
      <c r="B74" s="178"/>
      <c r="C74" s="186"/>
      <c r="D74" s="186"/>
      <c r="E74" s="186"/>
      <c r="F74" s="829"/>
      <c r="G74" s="178"/>
      <c r="H74" s="829"/>
      <c r="I74" s="178"/>
      <c r="J74" s="833"/>
    </row>
    <row r="75" spans="1:12" x14ac:dyDescent="0.25">
      <c r="A75" s="178"/>
      <c r="B75" s="178"/>
      <c r="C75" s="186"/>
      <c r="D75" s="178"/>
      <c r="E75" s="186"/>
      <c r="F75" s="829"/>
      <c r="G75" s="178"/>
      <c r="H75" s="829"/>
      <c r="I75" s="178"/>
      <c r="J75" s="833"/>
    </row>
    <row r="76" spans="1:12" x14ac:dyDescent="0.25">
      <c r="A76" s="178"/>
      <c r="B76" s="178"/>
      <c r="C76" s="830"/>
      <c r="D76" s="178"/>
      <c r="E76" s="186"/>
      <c r="F76" s="829"/>
      <c r="G76" s="178"/>
      <c r="H76" s="829"/>
      <c r="I76" s="178"/>
      <c r="J76" s="178"/>
    </row>
    <row r="77" spans="1:12" x14ac:dyDescent="0.25">
      <c r="A77" s="178"/>
      <c r="B77" s="178"/>
      <c r="C77" s="186"/>
      <c r="D77" s="178"/>
      <c r="E77" s="186"/>
      <c r="F77" s="829"/>
      <c r="G77" s="178"/>
      <c r="H77" s="829"/>
      <c r="I77" s="178"/>
      <c r="J77" s="833"/>
    </row>
    <row r="78" spans="1:12" x14ac:dyDescent="0.25">
      <c r="A78" s="178"/>
      <c r="B78" s="178"/>
      <c r="C78" s="186"/>
      <c r="D78" s="178"/>
      <c r="E78" s="186"/>
      <c r="F78" s="829"/>
      <c r="G78" s="178"/>
      <c r="H78" s="829"/>
      <c r="I78" s="178"/>
      <c r="J78" s="833"/>
    </row>
    <row r="79" spans="1:12" x14ac:dyDescent="0.25">
      <c r="A79" s="178"/>
      <c r="B79" s="178"/>
      <c r="C79" s="186"/>
      <c r="D79" s="178"/>
      <c r="E79" s="186"/>
      <c r="F79" s="829"/>
      <c r="G79" s="178"/>
      <c r="H79" s="829"/>
      <c r="I79" s="178"/>
      <c r="J79" s="833"/>
    </row>
    <row r="80" spans="1:12" x14ac:dyDescent="0.25">
      <c r="A80" s="178"/>
      <c r="B80" s="178"/>
      <c r="C80" s="186"/>
      <c r="D80" s="178"/>
      <c r="E80" s="186"/>
      <c r="F80" s="834"/>
      <c r="G80" s="178"/>
      <c r="H80" s="829"/>
      <c r="I80" s="178"/>
      <c r="J80" s="833"/>
    </row>
    <row r="81" spans="1:10" x14ac:dyDescent="0.25">
      <c r="A81" s="178"/>
      <c r="B81" s="178"/>
      <c r="C81" s="178"/>
      <c r="D81" s="178"/>
      <c r="E81" s="178"/>
      <c r="F81" s="178"/>
      <c r="G81" s="178"/>
      <c r="H81" s="178"/>
      <c r="I81" s="178"/>
      <c r="J81" s="178"/>
    </row>
    <row r="82" spans="1:10" x14ac:dyDescent="0.25">
      <c r="A82" s="178"/>
      <c r="B82" s="178"/>
      <c r="C82" s="178"/>
      <c r="D82" s="178"/>
      <c r="E82" s="178"/>
      <c r="F82" s="178"/>
      <c r="G82" s="178"/>
      <c r="H82" s="178"/>
      <c r="I82" s="178"/>
      <c r="J82" s="178"/>
    </row>
    <row r="83" spans="1:10" x14ac:dyDescent="0.25">
      <c r="A83" s="178"/>
      <c r="B83" s="178"/>
      <c r="C83" s="178"/>
      <c r="D83" s="178"/>
      <c r="E83" s="178"/>
      <c r="F83" s="178"/>
      <c r="G83" s="178"/>
      <c r="H83" s="178"/>
      <c r="I83" s="178"/>
      <c r="J83" s="178"/>
    </row>
  </sheetData>
  <mergeCells count="10">
    <mergeCell ref="M40:M41"/>
    <mergeCell ref="L36:L37"/>
    <mergeCell ref="B43:B49"/>
    <mergeCell ref="A34:A35"/>
    <mergeCell ref="B34:B35"/>
    <mergeCell ref="A21:A27"/>
    <mergeCell ref="A5:A9"/>
    <mergeCell ref="A10:A13"/>
    <mergeCell ref="A40:A41"/>
    <mergeCell ref="B40:B41"/>
  </mergeCells>
  <conditionalFormatting sqref="L21:L30 L5:L15">
    <cfRule type="cellIs" dxfId="131" priority="17" operator="equal">
      <formula>$P$7</formula>
    </cfRule>
    <cfRule type="cellIs" dxfId="130" priority="18" operator="equal">
      <formula>$P$6</formula>
    </cfRule>
    <cfRule type="cellIs" dxfId="129" priority="19" operator="equal">
      <formula>$P$5</formula>
    </cfRule>
    <cfRule type="cellIs" dxfId="128" priority="20" operator="notEqual">
      <formula>$P$4</formula>
    </cfRule>
  </conditionalFormatting>
  <conditionalFormatting sqref="L18">
    <cfRule type="cellIs" dxfId="127" priority="13" operator="equal">
      <formula>$P$7</formula>
    </cfRule>
    <cfRule type="cellIs" dxfId="126" priority="14" operator="equal">
      <formula>$P$6</formula>
    </cfRule>
    <cfRule type="cellIs" dxfId="125" priority="15" operator="equal">
      <formula>$P$5</formula>
    </cfRule>
    <cfRule type="cellIs" dxfId="124" priority="16" operator="notEqual">
      <formula>$P$4</formula>
    </cfRule>
  </conditionalFormatting>
  <conditionalFormatting sqref="L34:L36">
    <cfRule type="cellIs" dxfId="123" priority="5" operator="equal">
      <formula>$P$7</formula>
    </cfRule>
    <cfRule type="cellIs" dxfId="122" priority="6" operator="equal">
      <formula>$P$6</formula>
    </cfRule>
    <cfRule type="cellIs" dxfId="121" priority="7" operator="equal">
      <formula>$P$5</formula>
    </cfRule>
    <cfRule type="cellIs" dxfId="120" priority="8" operator="notEqual">
      <formula>$P$4</formula>
    </cfRule>
  </conditionalFormatting>
  <conditionalFormatting sqref="L40:L41">
    <cfRule type="cellIs" dxfId="119" priority="1" operator="equal">
      <formula>$P$7</formula>
    </cfRule>
    <cfRule type="cellIs" dxfId="118" priority="2" operator="equal">
      <formula>$P$6</formula>
    </cfRule>
    <cfRule type="cellIs" dxfId="117" priority="3" operator="equal">
      <formula>$P$5</formula>
    </cfRule>
    <cfRule type="cellIs" dxfId="116" priority="4" operator="notEqual">
      <formula>$P$4</formula>
    </cfRule>
  </conditionalFormatting>
  <dataValidations count="1">
    <dataValidation type="list" allowBlank="1" showInputMessage="1" showErrorMessage="1" sqref="L18 L40:L41 L21:L30 L34:L36 L5:L15" xr:uid="{186D8418-05AA-4F7D-9E15-D36518C1CB24}">
      <formula1>$P$4:$P$7</formula1>
    </dataValidation>
  </dataValidations>
  <pageMargins left="0.31496062992125984" right="0.31496062992125984" top="0.55118110236220474" bottom="0.55118110236220474"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R86"/>
  <sheetViews>
    <sheetView tabSelected="1" topLeftCell="A19" zoomScaleNormal="100" workbookViewId="0">
      <selection activeCell="M43" sqref="M43"/>
    </sheetView>
  </sheetViews>
  <sheetFormatPr defaultRowHeight="15" x14ac:dyDescent="0.25"/>
  <cols>
    <col min="1" max="1" width="12.5703125" customWidth="1"/>
    <col min="2" max="2" width="39.140625" customWidth="1"/>
    <col min="3" max="3" width="47.28515625" customWidth="1"/>
    <col min="4" max="4" width="51" customWidth="1"/>
    <col min="5" max="5" width="21.42578125" hidden="1" customWidth="1"/>
    <col min="6" max="6" width="6.140625" hidden="1" customWidth="1"/>
    <col min="7" max="7" width="8.42578125" hidden="1" customWidth="1"/>
    <col min="8" max="8" width="9.85546875" hidden="1" customWidth="1"/>
    <col min="9" max="9" width="9.140625" hidden="1" customWidth="1"/>
    <col min="10" max="10" width="5.140625" hidden="1" customWidth="1"/>
    <col min="11" max="11" width="8" hidden="1" customWidth="1"/>
    <col min="12" max="12" width="10.140625" customWidth="1"/>
    <col min="13" max="13" width="39.28515625" customWidth="1"/>
    <col min="17" max="18" width="0" hidden="1" customWidth="1"/>
  </cols>
  <sheetData>
    <row r="1" spans="1:18" ht="18" x14ac:dyDescent="0.25">
      <c r="A1" s="735" t="s">
        <v>549</v>
      </c>
      <c r="B1" s="721"/>
      <c r="J1" s="4"/>
      <c r="K1" s="573" t="s">
        <v>372</v>
      </c>
      <c r="M1" s="1014">
        <v>43586</v>
      </c>
    </row>
    <row r="2" spans="1:18" ht="6" customHeight="1" thickBot="1" x14ac:dyDescent="0.3">
      <c r="L2" s="176"/>
    </row>
    <row r="3" spans="1:18" ht="18" customHeight="1" x14ac:dyDescent="0.25">
      <c r="A3" s="632" t="s">
        <v>197</v>
      </c>
      <c r="B3" s="294"/>
      <c r="C3" s="294"/>
      <c r="D3" s="294"/>
      <c r="E3" s="294"/>
      <c r="F3" s="294"/>
      <c r="G3" s="294"/>
      <c r="H3" s="294"/>
      <c r="I3" s="294"/>
      <c r="J3" s="294"/>
      <c r="K3" s="294"/>
      <c r="L3" s="294"/>
      <c r="M3" s="296"/>
      <c r="Q3" s="176"/>
      <c r="R3" s="176"/>
    </row>
    <row r="4" spans="1:18" ht="34.5" customHeight="1" thickBot="1" x14ac:dyDescent="0.3">
      <c r="A4" s="297" t="s">
        <v>0</v>
      </c>
      <c r="B4" s="298" t="s">
        <v>1</v>
      </c>
      <c r="C4" s="299" t="s">
        <v>14</v>
      </c>
      <c r="D4" s="298" t="s">
        <v>58</v>
      </c>
      <c r="E4" s="298" t="s">
        <v>58</v>
      </c>
      <c r="F4" s="298" t="s">
        <v>58</v>
      </c>
      <c r="G4" s="298" t="s">
        <v>58</v>
      </c>
      <c r="H4" s="298" t="s">
        <v>58</v>
      </c>
      <c r="I4" s="298" t="s">
        <v>58</v>
      </c>
      <c r="J4" s="298" t="s">
        <v>58</v>
      </c>
      <c r="K4" s="298" t="s">
        <v>58</v>
      </c>
      <c r="L4" s="298" t="s">
        <v>18</v>
      </c>
      <c r="M4" s="301" t="s">
        <v>495</v>
      </c>
      <c r="Q4" s="945"/>
      <c r="R4" s="176" t="s">
        <v>136</v>
      </c>
    </row>
    <row r="5" spans="1:18" ht="40.5" customHeight="1" x14ac:dyDescent="0.25">
      <c r="A5" s="1041" t="s">
        <v>243</v>
      </c>
      <c r="B5" s="505" t="s">
        <v>316</v>
      </c>
      <c r="C5" s="142" t="s">
        <v>98</v>
      </c>
      <c r="D5" s="478" t="s">
        <v>388</v>
      </c>
      <c r="E5" s="478" t="s">
        <v>388</v>
      </c>
      <c r="F5" s="478" t="s">
        <v>388</v>
      </c>
      <c r="G5" s="478" t="s">
        <v>388</v>
      </c>
      <c r="H5" s="478" t="s">
        <v>388</v>
      </c>
      <c r="I5" s="478" t="s">
        <v>388</v>
      </c>
      <c r="J5" s="478" t="s">
        <v>388</v>
      </c>
      <c r="K5" s="478" t="s">
        <v>388</v>
      </c>
      <c r="L5" s="960" t="s">
        <v>136</v>
      </c>
      <c r="M5" s="1034" t="s">
        <v>597</v>
      </c>
      <c r="Q5" s="946"/>
      <c r="R5" s="176" t="s">
        <v>496</v>
      </c>
    </row>
    <row r="6" spans="1:18" ht="40.5" customHeight="1" x14ac:dyDescent="0.25">
      <c r="A6" s="1042"/>
      <c r="B6" s="110" t="s">
        <v>99</v>
      </c>
      <c r="C6" s="110" t="s">
        <v>244</v>
      </c>
      <c r="D6" s="447" t="s">
        <v>367</v>
      </c>
      <c r="E6" s="932" t="s">
        <v>453</v>
      </c>
      <c r="F6" s="932" t="s">
        <v>454</v>
      </c>
      <c r="G6" s="932" t="s">
        <v>455</v>
      </c>
      <c r="H6" s="932" t="s">
        <v>456</v>
      </c>
      <c r="I6" s="932" t="s">
        <v>457</v>
      </c>
      <c r="J6" s="932" t="s">
        <v>458</v>
      </c>
      <c r="K6" s="932" t="s">
        <v>459</v>
      </c>
      <c r="L6" s="960" t="s">
        <v>136</v>
      </c>
      <c r="M6" s="1017" t="s">
        <v>598</v>
      </c>
      <c r="Q6" s="947"/>
      <c r="R6" s="176" t="s">
        <v>497</v>
      </c>
    </row>
    <row r="7" spans="1:18" ht="40.5" customHeight="1" x14ac:dyDescent="0.25">
      <c r="A7" s="126"/>
      <c r="B7" s="142" t="s">
        <v>163</v>
      </c>
      <c r="C7" s="142" t="s">
        <v>101</v>
      </c>
      <c r="D7" s="704" t="s">
        <v>113</v>
      </c>
      <c r="E7" s="933" t="s">
        <v>113</v>
      </c>
      <c r="F7" s="933" t="s">
        <v>113</v>
      </c>
      <c r="G7" s="933" t="s">
        <v>113</v>
      </c>
      <c r="H7" s="933" t="s">
        <v>113</v>
      </c>
      <c r="I7" s="933" t="s">
        <v>113</v>
      </c>
      <c r="J7" s="933" t="s">
        <v>113</v>
      </c>
      <c r="K7" s="933" t="s">
        <v>113</v>
      </c>
      <c r="L7" s="960" t="s">
        <v>136</v>
      </c>
      <c r="M7" s="1018" t="s">
        <v>599</v>
      </c>
      <c r="Q7" s="948"/>
      <c r="R7" s="176" t="s">
        <v>498</v>
      </c>
    </row>
    <row r="8" spans="1:18" ht="39" customHeight="1" x14ac:dyDescent="0.25">
      <c r="A8" s="126"/>
      <c r="B8" s="110" t="s">
        <v>290</v>
      </c>
      <c r="C8" s="110" t="s">
        <v>103</v>
      </c>
      <c r="D8" s="1043" t="s">
        <v>313</v>
      </c>
      <c r="E8" s="1043" t="s">
        <v>313</v>
      </c>
      <c r="F8" s="1043" t="s">
        <v>313</v>
      </c>
      <c r="G8" s="1043" t="s">
        <v>313</v>
      </c>
      <c r="H8" s="1043" t="s">
        <v>313</v>
      </c>
      <c r="I8" s="1043" t="s">
        <v>313</v>
      </c>
      <c r="J8" s="1043" t="s">
        <v>313</v>
      </c>
      <c r="K8" s="1043" t="s">
        <v>313</v>
      </c>
      <c r="L8" s="1062" t="s">
        <v>136</v>
      </c>
      <c r="M8" s="1064" t="s">
        <v>600</v>
      </c>
    </row>
    <row r="9" spans="1:18" ht="15" customHeight="1" x14ac:dyDescent="0.25">
      <c r="A9" s="126"/>
      <c r="B9" s="142" t="s">
        <v>104</v>
      </c>
      <c r="C9" s="142" t="s">
        <v>104</v>
      </c>
      <c r="D9" s="1044"/>
      <c r="E9" s="1044"/>
      <c r="F9" s="1044"/>
      <c r="G9" s="1044"/>
      <c r="H9" s="1044"/>
      <c r="I9" s="1044"/>
      <c r="J9" s="1044"/>
      <c r="K9" s="1044"/>
      <c r="L9" s="1063"/>
      <c r="M9" s="1065"/>
    </row>
    <row r="10" spans="1:18" ht="27.75" customHeight="1" x14ac:dyDescent="0.25">
      <c r="A10" s="1055" t="s">
        <v>213</v>
      </c>
      <c r="B10" s="91" t="s">
        <v>83</v>
      </c>
      <c r="C10" s="111" t="s">
        <v>105</v>
      </c>
      <c r="D10" s="111" t="s">
        <v>224</v>
      </c>
      <c r="E10" s="934" t="s">
        <v>224</v>
      </c>
      <c r="F10" s="934" t="s">
        <v>224</v>
      </c>
      <c r="G10" s="934" t="s">
        <v>224</v>
      </c>
      <c r="H10" s="934" t="s">
        <v>224</v>
      </c>
      <c r="I10" s="934" t="s">
        <v>224</v>
      </c>
      <c r="J10" s="934" t="s">
        <v>224</v>
      </c>
      <c r="K10" s="934" t="s">
        <v>224</v>
      </c>
      <c r="L10" s="960" t="s">
        <v>136</v>
      </c>
      <c r="M10" s="942" t="s">
        <v>601</v>
      </c>
    </row>
    <row r="11" spans="1:18" s="176" customFormat="1" ht="52.5" customHeight="1" x14ac:dyDescent="0.25">
      <c r="A11" s="1050"/>
      <c r="B11" s="91" t="s">
        <v>289</v>
      </c>
      <c r="C11" s="111" t="s">
        <v>107</v>
      </c>
      <c r="D11" s="111" t="s">
        <v>271</v>
      </c>
      <c r="E11" s="934" t="s">
        <v>271</v>
      </c>
      <c r="F11" s="934" t="s">
        <v>271</v>
      </c>
      <c r="G11" s="934" t="s">
        <v>271</v>
      </c>
      <c r="H11" s="934" t="s">
        <v>271</v>
      </c>
      <c r="I11" s="934" t="s">
        <v>271</v>
      </c>
      <c r="J11" s="934" t="s">
        <v>271</v>
      </c>
      <c r="K11" s="934" t="s">
        <v>271</v>
      </c>
      <c r="L11" s="960" t="s">
        <v>136</v>
      </c>
      <c r="M11" s="942" t="s">
        <v>602</v>
      </c>
    </row>
    <row r="12" spans="1:18" ht="15" customHeight="1" thickBot="1" x14ac:dyDescent="0.3">
      <c r="A12" s="10"/>
      <c r="B12" s="91" t="s">
        <v>109</v>
      </c>
      <c r="C12" s="91" t="s">
        <v>410</v>
      </c>
      <c r="D12" s="713" t="s">
        <v>312</v>
      </c>
      <c r="E12" s="713" t="s">
        <v>460</v>
      </c>
      <c r="F12" s="713" t="s">
        <v>461</v>
      </c>
      <c r="G12" s="713" t="s">
        <v>462</v>
      </c>
      <c r="H12" s="713" t="s">
        <v>463</v>
      </c>
      <c r="I12" s="713" t="s">
        <v>464</v>
      </c>
      <c r="J12" s="713" t="s">
        <v>465</v>
      </c>
      <c r="K12" s="713" t="s">
        <v>466</v>
      </c>
      <c r="L12" s="960" t="s">
        <v>136</v>
      </c>
      <c r="M12" s="943" t="s">
        <v>603</v>
      </c>
    </row>
    <row r="13" spans="1:18" ht="17.25" customHeight="1" x14ac:dyDescent="0.25">
      <c r="A13" s="650" t="s">
        <v>198</v>
      </c>
      <c r="B13" s="691"/>
      <c r="C13" s="691"/>
      <c r="D13" s="691"/>
      <c r="E13" s="691"/>
      <c r="F13" s="691"/>
      <c r="G13" s="691"/>
      <c r="H13" s="691"/>
      <c r="I13" s="691"/>
      <c r="J13" s="691"/>
      <c r="K13" s="691"/>
      <c r="L13" s="691"/>
      <c r="M13" s="692"/>
    </row>
    <row r="14" spans="1:18" ht="31.5" customHeight="1" thickBot="1" x14ac:dyDescent="0.3">
      <c r="A14" s="274" t="s">
        <v>0</v>
      </c>
      <c r="B14" s="275" t="s">
        <v>1</v>
      </c>
      <c r="C14" s="276" t="s">
        <v>16</v>
      </c>
      <c r="D14" s="275" t="s">
        <v>58</v>
      </c>
      <c r="E14" s="275" t="s">
        <v>58</v>
      </c>
      <c r="F14" s="275" t="s">
        <v>58</v>
      </c>
      <c r="G14" s="275" t="s">
        <v>58</v>
      </c>
      <c r="H14" s="275" t="s">
        <v>58</v>
      </c>
      <c r="I14" s="275" t="s">
        <v>58</v>
      </c>
      <c r="J14" s="275" t="s">
        <v>58</v>
      </c>
      <c r="K14" s="275" t="s">
        <v>58</v>
      </c>
      <c r="L14" s="275" t="s">
        <v>18</v>
      </c>
      <c r="M14" s="277" t="s">
        <v>495</v>
      </c>
    </row>
    <row r="15" spans="1:18" ht="104.25" customHeight="1" x14ac:dyDescent="0.25">
      <c r="A15" s="10" t="s">
        <v>204</v>
      </c>
      <c r="B15" s="53" t="s">
        <v>62</v>
      </c>
      <c r="C15" s="3" t="s">
        <v>63</v>
      </c>
      <c r="D15" s="173" t="s">
        <v>119</v>
      </c>
      <c r="E15" s="113"/>
      <c r="F15" s="769">
        <v>0.32669999999999999</v>
      </c>
      <c r="G15" s="1056">
        <f>F15*(176702*14.22/13.94)</f>
        <v>58888.083726542325</v>
      </c>
      <c r="H15" s="1058">
        <v>0</v>
      </c>
      <c r="I15" s="1056">
        <f>G15</f>
        <v>58888.083726542325</v>
      </c>
      <c r="J15" s="1058">
        <v>100</v>
      </c>
      <c r="K15" s="1060">
        <f>I15*J15/100</f>
        <v>58888.083726542325</v>
      </c>
      <c r="L15" s="1066" t="s">
        <v>136</v>
      </c>
      <c r="M15" s="938"/>
    </row>
    <row r="16" spans="1:18" ht="27.75" customHeight="1" thickBot="1" x14ac:dyDescent="0.3">
      <c r="A16" s="10"/>
      <c r="B16" s="53" t="s">
        <v>64</v>
      </c>
      <c r="C16" s="3" t="s">
        <v>65</v>
      </c>
      <c r="D16" s="123"/>
      <c r="E16" s="113"/>
      <c r="F16" s="752"/>
      <c r="G16" s="1057"/>
      <c r="H16" s="1059"/>
      <c r="I16" s="1057"/>
      <c r="J16" s="1059"/>
      <c r="K16" s="1061"/>
      <c r="L16" s="1067"/>
      <c r="M16" s="938"/>
    </row>
    <row r="17" spans="1:13" s="176" customFormat="1" ht="17.25" customHeight="1" x14ac:dyDescent="0.25">
      <c r="A17" s="792" t="s">
        <v>209</v>
      </c>
      <c r="B17" s="625"/>
      <c r="C17" s="625"/>
      <c r="D17" s="625"/>
      <c r="E17" s="625"/>
      <c r="F17" s="625"/>
      <c r="G17" s="625"/>
      <c r="H17" s="625"/>
      <c r="I17" s="625"/>
      <c r="J17" s="625"/>
      <c r="K17" s="625"/>
      <c r="L17" s="625"/>
      <c r="M17" s="626"/>
    </row>
    <row r="18" spans="1:13" s="176" customFormat="1" ht="31.5" customHeight="1" thickBot="1" x14ac:dyDescent="0.3">
      <c r="A18" s="627" t="s">
        <v>0</v>
      </c>
      <c r="B18" s="628" t="s">
        <v>1</v>
      </c>
      <c r="C18" s="628" t="s">
        <v>14</v>
      </c>
      <c r="D18" s="628" t="s">
        <v>54</v>
      </c>
      <c r="E18" s="628" t="s">
        <v>54</v>
      </c>
      <c r="F18" s="628" t="s">
        <v>54</v>
      </c>
      <c r="G18" s="628" t="s">
        <v>54</v>
      </c>
      <c r="H18" s="628" t="s">
        <v>54</v>
      </c>
      <c r="I18" s="628" t="s">
        <v>54</v>
      </c>
      <c r="J18" s="628" t="s">
        <v>54</v>
      </c>
      <c r="K18" s="628" t="s">
        <v>54</v>
      </c>
      <c r="L18" s="628" t="s">
        <v>18</v>
      </c>
      <c r="M18" s="629" t="s">
        <v>495</v>
      </c>
    </row>
    <row r="19" spans="1:13" s="176" customFormat="1" ht="27.75" customHeight="1" x14ac:dyDescent="0.25">
      <c r="A19" s="1049" t="s">
        <v>214</v>
      </c>
      <c r="B19" s="139" t="s">
        <v>85</v>
      </c>
      <c r="C19" s="139" t="s">
        <v>75</v>
      </c>
      <c r="D19" s="757" t="s">
        <v>389</v>
      </c>
      <c r="E19" s="757" t="s">
        <v>389</v>
      </c>
      <c r="F19" s="757" t="s">
        <v>389</v>
      </c>
      <c r="G19" s="757" t="s">
        <v>389</v>
      </c>
      <c r="H19" s="757" t="s">
        <v>389</v>
      </c>
      <c r="I19" s="757" t="s">
        <v>389</v>
      </c>
      <c r="J19" s="757" t="s">
        <v>389</v>
      </c>
      <c r="K19" s="757" t="s">
        <v>389</v>
      </c>
      <c r="L19" s="960" t="s">
        <v>136</v>
      </c>
      <c r="M19" s="1004" t="s">
        <v>604</v>
      </c>
    </row>
    <row r="20" spans="1:13" s="176" customFormat="1" ht="27.75" customHeight="1" x14ac:dyDescent="0.25">
      <c r="A20" s="1050"/>
      <c r="B20" s="141" t="s">
        <v>76</v>
      </c>
      <c r="C20" s="141" t="s">
        <v>77</v>
      </c>
      <c r="D20" s="773" t="s">
        <v>390</v>
      </c>
      <c r="E20" s="773" t="s">
        <v>390</v>
      </c>
      <c r="F20" s="773" t="s">
        <v>390</v>
      </c>
      <c r="G20" s="773" t="s">
        <v>390</v>
      </c>
      <c r="H20" s="773" t="s">
        <v>390</v>
      </c>
      <c r="I20" s="773" t="s">
        <v>390</v>
      </c>
      <c r="J20" s="773" t="s">
        <v>390</v>
      </c>
      <c r="K20" s="773" t="s">
        <v>390</v>
      </c>
      <c r="L20" s="960" t="s">
        <v>136</v>
      </c>
      <c r="M20" s="1005" t="s">
        <v>605</v>
      </c>
    </row>
    <row r="21" spans="1:13" s="176" customFormat="1" ht="28.5" customHeight="1" x14ac:dyDescent="0.25">
      <c r="A21" s="1050"/>
      <c r="B21" s="129" t="s">
        <v>78</v>
      </c>
      <c r="C21" s="129" t="s">
        <v>79</v>
      </c>
      <c r="D21" s="448" t="s">
        <v>370</v>
      </c>
      <c r="E21" s="448" t="s">
        <v>467</v>
      </c>
      <c r="F21" s="448" t="s">
        <v>468</v>
      </c>
      <c r="G21" s="448" t="s">
        <v>469</v>
      </c>
      <c r="H21" s="448" t="s">
        <v>470</v>
      </c>
      <c r="I21" s="448" t="s">
        <v>471</v>
      </c>
      <c r="J21" s="448" t="s">
        <v>472</v>
      </c>
      <c r="K21" s="448" t="s">
        <v>473</v>
      </c>
      <c r="L21" s="960" t="s">
        <v>136</v>
      </c>
      <c r="M21" s="943" t="s">
        <v>587</v>
      </c>
    </row>
    <row r="22" spans="1:13" s="176" customFormat="1" ht="28.5" customHeight="1" x14ac:dyDescent="0.25">
      <c r="A22" s="1050"/>
      <c r="B22" s="129"/>
      <c r="C22" s="129" t="s">
        <v>80</v>
      </c>
      <c r="D22" s="448" t="s">
        <v>369</v>
      </c>
      <c r="E22" s="448" t="s">
        <v>474</v>
      </c>
      <c r="F22" s="448" t="s">
        <v>475</v>
      </c>
      <c r="G22" s="448" t="s">
        <v>476</v>
      </c>
      <c r="H22" s="448" t="s">
        <v>477</v>
      </c>
      <c r="I22" s="448" t="s">
        <v>478</v>
      </c>
      <c r="J22" s="448" t="s">
        <v>479</v>
      </c>
      <c r="K22" s="448" t="s">
        <v>480</v>
      </c>
      <c r="L22" s="960" t="s">
        <v>136</v>
      </c>
      <c r="M22" s="943" t="s">
        <v>606</v>
      </c>
    </row>
    <row r="23" spans="1:13" s="176" customFormat="1" ht="15.75" customHeight="1" x14ac:dyDescent="0.25">
      <c r="A23" s="1050"/>
      <c r="B23" s="129"/>
      <c r="C23" s="129" t="s">
        <v>81</v>
      </c>
      <c r="D23" s="448" t="s">
        <v>368</v>
      </c>
      <c r="E23" s="448" t="s">
        <v>481</v>
      </c>
      <c r="F23" s="448" t="s">
        <v>482</v>
      </c>
      <c r="G23" s="448" t="s">
        <v>483</v>
      </c>
      <c r="H23" s="448" t="s">
        <v>484</v>
      </c>
      <c r="I23" s="448" t="s">
        <v>485</v>
      </c>
      <c r="J23" s="448" t="s">
        <v>486</v>
      </c>
      <c r="K23" s="448" t="s">
        <v>487</v>
      </c>
      <c r="L23" s="960" t="s">
        <v>136</v>
      </c>
      <c r="M23" s="943" t="s">
        <v>607</v>
      </c>
    </row>
    <row r="24" spans="1:13" s="176" customFormat="1" ht="39.75" customHeight="1" x14ac:dyDescent="0.25">
      <c r="A24" s="1202"/>
      <c r="B24" s="714" t="s">
        <v>82</v>
      </c>
      <c r="C24" s="561" t="s">
        <v>92</v>
      </c>
      <c r="D24" s="561" t="s">
        <v>311</v>
      </c>
      <c r="E24" s="561" t="s">
        <v>488</v>
      </c>
      <c r="F24" s="561" t="s">
        <v>489</v>
      </c>
      <c r="G24" s="561" t="s">
        <v>490</v>
      </c>
      <c r="H24" s="561" t="s">
        <v>491</v>
      </c>
      <c r="I24" s="561" t="s">
        <v>492</v>
      </c>
      <c r="J24" s="561" t="s">
        <v>493</v>
      </c>
      <c r="K24" s="561" t="s">
        <v>494</v>
      </c>
      <c r="L24" s="1151" t="s">
        <v>136</v>
      </c>
      <c r="M24" s="1006" t="s">
        <v>608</v>
      </c>
    </row>
    <row r="25" spans="1:13" s="176" customFormat="1" ht="94.5" customHeight="1" thickBot="1" x14ac:dyDescent="0.3">
      <c r="A25" s="695" t="s">
        <v>223</v>
      </c>
      <c r="B25" s="560" t="s">
        <v>193</v>
      </c>
      <c r="C25" s="560" t="s">
        <v>95</v>
      </c>
      <c r="D25" s="560" t="s">
        <v>371</v>
      </c>
      <c r="E25" s="560" t="s">
        <v>371</v>
      </c>
      <c r="F25" s="560" t="s">
        <v>371</v>
      </c>
      <c r="G25" s="560" t="s">
        <v>371</v>
      </c>
      <c r="H25" s="560" t="s">
        <v>371</v>
      </c>
      <c r="I25" s="560" t="s">
        <v>371</v>
      </c>
      <c r="J25" s="560" t="s">
        <v>371</v>
      </c>
      <c r="K25" s="560" t="s">
        <v>371</v>
      </c>
      <c r="L25" s="961" t="s">
        <v>136</v>
      </c>
      <c r="M25" s="1038" t="s">
        <v>643</v>
      </c>
    </row>
    <row r="26" spans="1:13" ht="17.25" customHeight="1" thickBot="1" x14ac:dyDescent="0.3">
      <c r="A26" s="793" t="s">
        <v>199</v>
      </c>
      <c r="B26" s="23"/>
      <c r="C26" s="24"/>
      <c r="D26" s="25"/>
      <c r="E26" s="25"/>
      <c r="F26" s="25"/>
      <c r="G26" s="25"/>
      <c r="H26" s="25"/>
      <c r="I26" s="25"/>
      <c r="J26" s="25"/>
      <c r="K26" s="25"/>
      <c r="L26" s="25"/>
      <c r="M26" s="944"/>
    </row>
    <row r="27" spans="1:13" ht="17.25" customHeight="1" x14ac:dyDescent="0.25">
      <c r="A27" s="819" t="s">
        <v>206</v>
      </c>
      <c r="B27" s="194"/>
      <c r="C27" s="194"/>
      <c r="D27" s="194"/>
      <c r="E27" s="194"/>
      <c r="F27" s="194"/>
      <c r="G27" s="194"/>
      <c r="H27" s="194"/>
      <c r="I27" s="194"/>
      <c r="J27" s="194"/>
      <c r="K27" s="194"/>
      <c r="L27" s="194"/>
      <c r="M27" s="195"/>
    </row>
    <row r="28" spans="1:13" ht="33.75" customHeight="1" thickBot="1" x14ac:dyDescent="0.3">
      <c r="A28" s="279" t="s">
        <v>0</v>
      </c>
      <c r="B28" s="267" t="s">
        <v>1</v>
      </c>
      <c r="C28" s="280" t="s">
        <v>14</v>
      </c>
      <c r="D28" s="267" t="s">
        <v>58</v>
      </c>
      <c r="E28" s="267" t="s">
        <v>58</v>
      </c>
      <c r="F28" s="267" t="s">
        <v>58</v>
      </c>
      <c r="G28" s="267" t="s">
        <v>58</v>
      </c>
      <c r="H28" s="267" t="s">
        <v>58</v>
      </c>
      <c r="I28" s="267" t="s">
        <v>58</v>
      </c>
      <c r="J28" s="267" t="s">
        <v>58</v>
      </c>
      <c r="K28" s="267" t="s">
        <v>58</v>
      </c>
      <c r="L28" s="267" t="s">
        <v>18</v>
      </c>
      <c r="M28" s="281" t="s">
        <v>495</v>
      </c>
    </row>
    <row r="29" spans="1:13" ht="27.75" customHeight="1" x14ac:dyDescent="0.25">
      <c r="A29" s="1049" t="s">
        <v>215</v>
      </c>
      <c r="B29" s="132" t="s">
        <v>66</v>
      </c>
      <c r="C29" s="120" t="s">
        <v>68</v>
      </c>
      <c r="D29" s="111" t="s">
        <v>121</v>
      </c>
      <c r="E29" s="934" t="s">
        <v>121</v>
      </c>
      <c r="F29" s="934" t="s">
        <v>121</v>
      </c>
      <c r="G29" s="934" t="s">
        <v>121</v>
      </c>
      <c r="H29" s="934" t="s">
        <v>121</v>
      </c>
      <c r="I29" s="934" t="s">
        <v>121</v>
      </c>
      <c r="J29" s="934" t="s">
        <v>121</v>
      </c>
      <c r="K29" s="934" t="s">
        <v>121</v>
      </c>
      <c r="L29" s="960" t="s">
        <v>136</v>
      </c>
      <c r="M29" s="1068" t="s">
        <v>574</v>
      </c>
    </row>
    <row r="30" spans="1:13" ht="29.25" customHeight="1" x14ac:dyDescent="0.25">
      <c r="A30" s="1050"/>
      <c r="B30" s="1051" t="s">
        <v>114</v>
      </c>
      <c r="C30" s="120" t="s">
        <v>69</v>
      </c>
      <c r="D30" s="111" t="s">
        <v>122</v>
      </c>
      <c r="E30" s="934" t="s">
        <v>122</v>
      </c>
      <c r="F30" s="934" t="s">
        <v>122</v>
      </c>
      <c r="G30" s="934" t="s">
        <v>122</v>
      </c>
      <c r="H30" s="934" t="s">
        <v>122</v>
      </c>
      <c r="I30" s="934" t="s">
        <v>122</v>
      </c>
      <c r="J30" s="934" t="s">
        <v>122</v>
      </c>
      <c r="K30" s="934" t="s">
        <v>122</v>
      </c>
      <c r="L30" s="960" t="s">
        <v>136</v>
      </c>
      <c r="M30" s="1069"/>
    </row>
    <row r="31" spans="1:13" ht="28.5" customHeight="1" x14ac:dyDescent="0.25">
      <c r="A31" s="1050"/>
      <c r="B31" s="1051"/>
      <c r="C31" s="120" t="s">
        <v>70</v>
      </c>
      <c r="D31" s="111" t="s">
        <v>123</v>
      </c>
      <c r="E31" s="934" t="s">
        <v>123</v>
      </c>
      <c r="F31" s="934" t="s">
        <v>123</v>
      </c>
      <c r="G31" s="934" t="s">
        <v>123</v>
      </c>
      <c r="H31" s="934" t="s">
        <v>123</v>
      </c>
      <c r="I31" s="934" t="s">
        <v>123</v>
      </c>
      <c r="J31" s="934" t="s">
        <v>123</v>
      </c>
      <c r="K31" s="934" t="s">
        <v>123</v>
      </c>
      <c r="L31" s="960" t="s">
        <v>136</v>
      </c>
      <c r="M31" s="1069"/>
    </row>
    <row r="32" spans="1:13" ht="41.25" customHeight="1" x14ac:dyDescent="0.25">
      <c r="A32" s="10"/>
      <c r="B32" s="1051"/>
      <c r="C32" s="120" t="s">
        <v>71</v>
      </c>
      <c r="D32" s="111" t="s">
        <v>124</v>
      </c>
      <c r="E32" s="934" t="s">
        <v>124</v>
      </c>
      <c r="F32" s="934" t="s">
        <v>124</v>
      </c>
      <c r="G32" s="934" t="s">
        <v>124</v>
      </c>
      <c r="H32" s="934" t="s">
        <v>124</v>
      </c>
      <c r="I32" s="934" t="s">
        <v>124</v>
      </c>
      <c r="J32" s="934" t="s">
        <v>124</v>
      </c>
      <c r="K32" s="934" t="s">
        <v>124</v>
      </c>
      <c r="L32" s="960" t="s">
        <v>136</v>
      </c>
      <c r="M32" s="1069"/>
    </row>
    <row r="33" spans="1:13" ht="40.5" customHeight="1" x14ac:dyDescent="0.25">
      <c r="A33" s="10"/>
      <c r="B33" s="180"/>
      <c r="C33" s="120" t="s">
        <v>72</v>
      </c>
      <c r="D33" s="111" t="s">
        <v>125</v>
      </c>
      <c r="E33" s="934" t="s">
        <v>125</v>
      </c>
      <c r="F33" s="934" t="s">
        <v>125</v>
      </c>
      <c r="G33" s="934" t="s">
        <v>125</v>
      </c>
      <c r="H33" s="934" t="s">
        <v>125</v>
      </c>
      <c r="I33" s="934" t="s">
        <v>125</v>
      </c>
      <c r="J33" s="934" t="s">
        <v>125</v>
      </c>
      <c r="K33" s="934" t="s">
        <v>125</v>
      </c>
      <c r="L33" s="960" t="s">
        <v>136</v>
      </c>
      <c r="M33" s="1069"/>
    </row>
    <row r="34" spans="1:13" ht="16.5" customHeight="1" thickBot="1" x14ac:dyDescent="0.3">
      <c r="A34" s="223"/>
      <c r="B34" s="180"/>
      <c r="C34" s="425" t="s">
        <v>73</v>
      </c>
      <c r="D34" s="431" t="s">
        <v>126</v>
      </c>
      <c r="E34" s="431" t="s">
        <v>126</v>
      </c>
      <c r="F34" s="431" t="s">
        <v>126</v>
      </c>
      <c r="G34" s="431" t="s">
        <v>126</v>
      </c>
      <c r="H34" s="431" t="s">
        <v>126</v>
      </c>
      <c r="I34" s="431" t="s">
        <v>126</v>
      </c>
      <c r="J34" s="431" t="s">
        <v>126</v>
      </c>
      <c r="K34" s="431" t="s">
        <v>126</v>
      </c>
      <c r="L34" s="960" t="s">
        <v>136</v>
      </c>
      <c r="M34" s="1070"/>
    </row>
    <row r="35" spans="1:13" ht="15.75" x14ac:dyDescent="0.25">
      <c r="A35" s="780" t="s">
        <v>208</v>
      </c>
      <c r="B35" s="206"/>
      <c r="C35" s="206"/>
      <c r="D35" s="206"/>
      <c r="E35" s="206"/>
      <c r="F35" s="206"/>
      <c r="G35" s="206"/>
      <c r="H35" s="206"/>
      <c r="I35" s="206"/>
      <c r="J35" s="206"/>
      <c r="K35" s="206"/>
      <c r="L35" s="206"/>
      <c r="M35" s="210"/>
    </row>
    <row r="36" spans="1:13" ht="30" customHeight="1" thickBot="1" x14ac:dyDescent="0.3">
      <c r="A36" s="271" t="s">
        <v>0</v>
      </c>
      <c r="B36" s="266" t="s">
        <v>1</v>
      </c>
      <c r="C36" s="272" t="s">
        <v>14</v>
      </c>
      <c r="D36" s="266" t="s">
        <v>58</v>
      </c>
      <c r="E36" s="266" t="s">
        <v>58</v>
      </c>
      <c r="F36" s="266" t="s">
        <v>58</v>
      </c>
      <c r="G36" s="266" t="s">
        <v>58</v>
      </c>
      <c r="H36" s="266" t="s">
        <v>58</v>
      </c>
      <c r="I36" s="266" t="s">
        <v>58</v>
      </c>
      <c r="J36" s="266" t="s">
        <v>58</v>
      </c>
      <c r="K36" s="266" t="s">
        <v>58</v>
      </c>
      <c r="L36" s="266" t="s">
        <v>18</v>
      </c>
      <c r="M36" s="273" t="s">
        <v>495</v>
      </c>
    </row>
    <row r="37" spans="1:13" ht="30" customHeight="1" x14ac:dyDescent="0.25">
      <c r="A37" s="1049" t="s">
        <v>203</v>
      </c>
      <c r="B37" s="1053" t="s">
        <v>10</v>
      </c>
      <c r="C37" s="462" t="s">
        <v>19</v>
      </c>
      <c r="D37" s="103" t="s">
        <v>245</v>
      </c>
      <c r="E37" s="103" t="s">
        <v>245</v>
      </c>
      <c r="F37" s="103" t="s">
        <v>245</v>
      </c>
      <c r="G37" s="103" t="s">
        <v>245</v>
      </c>
      <c r="H37" s="103" t="s">
        <v>245</v>
      </c>
      <c r="I37" s="103" t="s">
        <v>245</v>
      </c>
      <c r="J37" s="103" t="s">
        <v>245</v>
      </c>
      <c r="K37" s="103" t="s">
        <v>245</v>
      </c>
      <c r="L37" s="960" t="s">
        <v>136</v>
      </c>
      <c r="M37" s="1039" t="s">
        <v>548</v>
      </c>
    </row>
    <row r="38" spans="1:13" ht="37.5" customHeight="1" thickBot="1" x14ac:dyDescent="0.3">
      <c r="A38" s="1052"/>
      <c r="B38" s="1054"/>
      <c r="C38" s="463" t="s">
        <v>11</v>
      </c>
      <c r="D38" s="196" t="s">
        <v>246</v>
      </c>
      <c r="E38" s="196" t="s">
        <v>246</v>
      </c>
      <c r="F38" s="196" t="s">
        <v>246</v>
      </c>
      <c r="G38" s="196" t="s">
        <v>246</v>
      </c>
      <c r="H38" s="196" t="s">
        <v>246</v>
      </c>
      <c r="I38" s="196" t="s">
        <v>246</v>
      </c>
      <c r="J38" s="196" t="s">
        <v>246</v>
      </c>
      <c r="K38" s="196" t="s">
        <v>246</v>
      </c>
      <c r="L38" s="961" t="s">
        <v>136</v>
      </c>
      <c r="M38" s="1040"/>
    </row>
    <row r="39" spans="1:13" ht="14.25" customHeight="1" thickBot="1" x14ac:dyDescent="0.3">
      <c r="B39" s="22"/>
      <c r="G39" s="877" t="s">
        <v>432</v>
      </c>
    </row>
    <row r="40" spans="1:13" ht="15.75" thickBot="1" x14ac:dyDescent="0.3">
      <c r="B40" s="1045" t="s">
        <v>12</v>
      </c>
      <c r="C40" s="460" t="s">
        <v>24</v>
      </c>
      <c r="D40" s="511">
        <v>48071.412787499998</v>
      </c>
      <c r="G40" s="882">
        <v>40871.699999999997</v>
      </c>
      <c r="I40" s="881"/>
    </row>
    <row r="41" spans="1:13" ht="15.75" thickBot="1" x14ac:dyDescent="0.3">
      <c r="B41" s="1046"/>
      <c r="C41" s="21" t="s">
        <v>20</v>
      </c>
      <c r="D41" s="512">
        <v>58888.083726542325</v>
      </c>
      <c r="G41" s="883">
        <v>58082</v>
      </c>
      <c r="I41" s="881"/>
    </row>
    <row r="42" spans="1:13" s="176" customFormat="1" ht="15.75" thickBot="1" x14ac:dyDescent="0.3">
      <c r="B42" s="1046"/>
      <c r="C42" s="32" t="s">
        <v>13</v>
      </c>
      <c r="D42" s="511">
        <v>212639.02304312197</v>
      </c>
      <c r="G42" s="884">
        <v>206160.3</v>
      </c>
      <c r="I42" s="881"/>
    </row>
    <row r="43" spans="1:13" ht="15.75" thickBot="1" x14ac:dyDescent="0.3">
      <c r="B43" s="1046"/>
      <c r="C43" s="1146" t="s">
        <v>21</v>
      </c>
      <c r="D43" s="1155">
        <v>69044.915882496425</v>
      </c>
      <c r="G43" s="884">
        <v>67489.919999999998</v>
      </c>
      <c r="I43" s="881"/>
    </row>
    <row r="44" spans="1:13" ht="14.25" hidden="1" customHeight="1" x14ac:dyDescent="0.25">
      <c r="B44" s="1047"/>
      <c r="C44" s="45" t="s">
        <v>25</v>
      </c>
      <c r="D44" s="514">
        <v>68316.635882496426</v>
      </c>
      <c r="G44" s="885">
        <v>66746</v>
      </c>
      <c r="I44" s="881"/>
    </row>
    <row r="45" spans="1:13" ht="15.75" hidden="1" thickBot="1" x14ac:dyDescent="0.3">
      <c r="B45" s="1047"/>
      <c r="C45" s="46" t="s">
        <v>26</v>
      </c>
      <c r="D45" s="515">
        <v>728.2800000000002</v>
      </c>
      <c r="G45" s="886">
        <v>743.92</v>
      </c>
      <c r="I45" s="881"/>
    </row>
    <row r="46" spans="1:13" ht="15.75" thickBot="1" x14ac:dyDescent="0.3">
      <c r="B46" s="1048"/>
      <c r="C46" s="43" t="s">
        <v>23</v>
      </c>
      <c r="D46" s="516">
        <v>388643.43543966068</v>
      </c>
      <c r="E46" s="136"/>
      <c r="F46" s="136"/>
      <c r="G46" s="879">
        <v>372603.92</v>
      </c>
      <c r="I46" s="881"/>
    </row>
    <row r="47" spans="1:13" x14ac:dyDescent="0.25">
      <c r="B47" s="33"/>
      <c r="C47" s="137"/>
      <c r="D47" s="137"/>
      <c r="E47" s="54" t="s">
        <v>74</v>
      </c>
      <c r="F47" s="54"/>
      <c r="G47" s="107">
        <v>24.19</v>
      </c>
    </row>
    <row r="48" spans="1:13" x14ac:dyDescent="0.25">
      <c r="B48" s="33"/>
      <c r="C48" s="33"/>
      <c r="D48" s="33"/>
    </row>
    <row r="49" spans="3:7" x14ac:dyDescent="0.25">
      <c r="C49" s="33"/>
      <c r="D49" s="33"/>
      <c r="E49" s="47">
        <v>23</v>
      </c>
      <c r="F49" s="47"/>
    </row>
    <row r="50" spans="3:7" s="178" customFormat="1" x14ac:dyDescent="0.25">
      <c r="E50" s="824">
        <v>460</v>
      </c>
      <c r="F50" s="824"/>
      <c r="G50" s="880"/>
    </row>
    <row r="51" spans="3:7" s="178" customFormat="1" x14ac:dyDescent="0.25">
      <c r="E51" s="824">
        <v>23</v>
      </c>
      <c r="F51" s="824"/>
    </row>
    <row r="52" spans="3:7" s="178" customFormat="1" x14ac:dyDescent="0.25"/>
    <row r="53" spans="3:7" s="178" customFormat="1" x14ac:dyDescent="0.25"/>
    <row r="54" spans="3:7" s="178" customFormat="1" x14ac:dyDescent="0.25"/>
    <row r="55" spans="3:7" s="178" customFormat="1" x14ac:dyDescent="0.25"/>
    <row r="56" spans="3:7" s="178" customFormat="1" x14ac:dyDescent="0.25"/>
    <row r="57" spans="3:7" s="178" customFormat="1" x14ac:dyDescent="0.25"/>
    <row r="58" spans="3:7" s="178" customFormat="1" x14ac:dyDescent="0.25"/>
    <row r="59" spans="3:7" s="178" customFormat="1" x14ac:dyDescent="0.25"/>
    <row r="60" spans="3:7" s="178" customFormat="1" x14ac:dyDescent="0.25"/>
    <row r="61" spans="3:7" s="178" customFormat="1" x14ac:dyDescent="0.25"/>
    <row r="62" spans="3:7" s="178" customFormat="1" x14ac:dyDescent="0.25"/>
    <row r="63" spans="3:7" s="178" customFormat="1" x14ac:dyDescent="0.25"/>
    <row r="64" spans="3:7" s="178" customFormat="1" x14ac:dyDescent="0.25"/>
    <row r="65" s="178" customFormat="1" x14ac:dyDescent="0.25"/>
    <row r="66" s="178" customFormat="1" x14ac:dyDescent="0.25"/>
    <row r="67" s="178" customFormat="1" x14ac:dyDescent="0.25"/>
    <row r="68" s="178" customFormat="1" x14ac:dyDescent="0.25"/>
    <row r="69" s="178" customFormat="1" x14ac:dyDescent="0.25"/>
    <row r="70" s="178" customFormat="1" x14ac:dyDescent="0.25"/>
    <row r="71" s="178" customFormat="1" x14ac:dyDescent="0.25"/>
    <row r="72" s="178" customFormat="1" x14ac:dyDescent="0.25"/>
    <row r="73" s="178" customFormat="1" x14ac:dyDescent="0.25"/>
    <row r="74" s="178" customFormat="1" x14ac:dyDescent="0.25"/>
    <row r="75" s="178" customFormat="1" x14ac:dyDescent="0.25"/>
    <row r="76" s="178" customFormat="1" x14ac:dyDescent="0.25"/>
    <row r="77" s="178" customFormat="1" x14ac:dyDescent="0.25"/>
    <row r="78" s="178" customFormat="1" x14ac:dyDescent="0.25"/>
    <row r="79" s="178" customFormat="1" x14ac:dyDescent="0.25"/>
    <row r="80" s="178" customFormat="1" x14ac:dyDescent="0.25"/>
    <row r="81" s="178" customFormat="1" x14ac:dyDescent="0.25"/>
    <row r="82" s="178" customFormat="1" x14ac:dyDescent="0.25"/>
    <row r="83" s="178" customFormat="1" x14ac:dyDescent="0.25"/>
    <row r="84" s="178" customFormat="1" x14ac:dyDescent="0.25"/>
    <row r="85" s="178" customFormat="1" x14ac:dyDescent="0.25"/>
    <row r="86" s="178" customFormat="1" x14ac:dyDescent="0.25"/>
  </sheetData>
  <mergeCells count="26">
    <mergeCell ref="K8:K9"/>
    <mergeCell ref="L8:L9"/>
    <mergeCell ref="M8:M9"/>
    <mergeCell ref="L15:L16"/>
    <mergeCell ref="M29:M34"/>
    <mergeCell ref="F8:F9"/>
    <mergeCell ref="G8:G9"/>
    <mergeCell ref="H8:H9"/>
    <mergeCell ref="I8:I9"/>
    <mergeCell ref="J8:J9"/>
    <mergeCell ref="M37:M38"/>
    <mergeCell ref="A5:A6"/>
    <mergeCell ref="D8:D9"/>
    <mergeCell ref="B40:B46"/>
    <mergeCell ref="A19:A23"/>
    <mergeCell ref="A29:A31"/>
    <mergeCell ref="B30:B32"/>
    <mergeCell ref="A37:A38"/>
    <mergeCell ref="B37:B38"/>
    <mergeCell ref="A10:A11"/>
    <mergeCell ref="G15:G16"/>
    <mergeCell ref="H15:H16"/>
    <mergeCell ref="I15:I16"/>
    <mergeCell ref="J15:J16"/>
    <mergeCell ref="K15:K16"/>
    <mergeCell ref="E8:E9"/>
  </mergeCells>
  <conditionalFormatting sqref="L5:L8 L10:L12">
    <cfRule type="cellIs" dxfId="471" priority="17" operator="equal">
      <formula>$P$7</formula>
    </cfRule>
    <cfRule type="cellIs" dxfId="470" priority="18" operator="equal">
      <formula>$P$6</formula>
    </cfRule>
    <cfRule type="cellIs" dxfId="469" priority="19" operator="equal">
      <formula>$P$5</formula>
    </cfRule>
    <cfRule type="cellIs" dxfId="468" priority="20" operator="notEqual">
      <formula>$P$4</formula>
    </cfRule>
  </conditionalFormatting>
  <conditionalFormatting sqref="L37:L38">
    <cfRule type="cellIs" dxfId="467" priority="1" operator="equal">
      <formula>$P$7</formula>
    </cfRule>
    <cfRule type="cellIs" dxfId="466" priority="2" operator="equal">
      <formula>$P$6</formula>
    </cfRule>
    <cfRule type="cellIs" dxfId="465" priority="3" operator="equal">
      <formula>$P$5</formula>
    </cfRule>
    <cfRule type="cellIs" dxfId="464" priority="4" operator="notEqual">
      <formula>$P$4</formula>
    </cfRule>
  </conditionalFormatting>
  <conditionalFormatting sqref="L15">
    <cfRule type="cellIs" dxfId="463" priority="13" operator="equal">
      <formula>$P$7</formula>
    </cfRule>
    <cfRule type="cellIs" dxfId="462" priority="14" operator="equal">
      <formula>$P$6</formula>
    </cfRule>
    <cfRule type="cellIs" dxfId="461" priority="15" operator="equal">
      <formula>$P$5</formula>
    </cfRule>
    <cfRule type="cellIs" dxfId="460" priority="16" operator="notEqual">
      <formula>$P$4</formula>
    </cfRule>
  </conditionalFormatting>
  <conditionalFormatting sqref="L19:L25">
    <cfRule type="cellIs" dxfId="459" priority="9" operator="equal">
      <formula>$P$7</formula>
    </cfRule>
    <cfRule type="cellIs" dxfId="458" priority="10" operator="equal">
      <formula>$P$6</formula>
    </cfRule>
    <cfRule type="cellIs" dxfId="457" priority="11" operator="equal">
      <formula>$P$5</formula>
    </cfRule>
    <cfRule type="cellIs" dxfId="456" priority="12" operator="notEqual">
      <formula>$P$4</formula>
    </cfRule>
  </conditionalFormatting>
  <conditionalFormatting sqref="L29:L34">
    <cfRule type="cellIs" dxfId="455" priority="5" operator="equal">
      <formula>$P$7</formula>
    </cfRule>
    <cfRule type="cellIs" dxfId="454" priority="6" operator="equal">
      <formula>$P$6</formula>
    </cfRule>
    <cfRule type="cellIs" dxfId="453" priority="7" operator="equal">
      <formula>$P$5</formula>
    </cfRule>
    <cfRule type="cellIs" dxfId="452" priority="8" operator="notEqual">
      <formula>$P$4</formula>
    </cfRule>
  </conditionalFormatting>
  <dataValidations count="1">
    <dataValidation type="list" allowBlank="1" showInputMessage="1" showErrorMessage="1" sqref="L5:L8 L10:L12 L37:L38 L19:L25 L29:L34 L15" xr:uid="{A68E439F-C72F-46FB-98D0-93BAB92B9D72}">
      <formula1>$P$4:$P$7</formula1>
    </dataValidation>
  </dataValidations>
  <pageMargins left="0.43307086614173229" right="0.43307086614173229" top="0.55118110236220474" bottom="0.55118110236220474" header="0.31496062992125984" footer="0.31496062992125984"/>
  <pageSetup paperSize="8" fitToHeight="0"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R31"/>
  <sheetViews>
    <sheetView topLeftCell="A13" zoomScaleNormal="100" workbookViewId="0">
      <selection activeCell="B16" sqref="B16"/>
    </sheetView>
  </sheetViews>
  <sheetFormatPr defaultRowHeight="15" x14ac:dyDescent="0.25"/>
  <cols>
    <col min="1" max="1" width="27.140625" customWidth="1"/>
    <col min="2" max="2" width="59.42578125" customWidth="1"/>
    <col min="3" max="3" width="42.28515625" customWidth="1"/>
    <col min="4" max="4" width="27.28515625" customWidth="1"/>
    <col min="5" max="5" width="8.140625" hidden="1" customWidth="1"/>
    <col min="6" max="6" width="6.28515625" hidden="1" customWidth="1"/>
    <col min="7" max="7" width="7.7109375" hidden="1" customWidth="1"/>
    <col min="8" max="8" width="9.85546875" hidden="1" customWidth="1"/>
    <col min="9" max="9" width="6.5703125" hidden="1" customWidth="1"/>
    <col min="10" max="10" width="5.7109375" hidden="1" customWidth="1"/>
    <col min="11" max="11" width="8" hidden="1" customWidth="1"/>
    <col min="13" max="13" width="20.7109375" customWidth="1"/>
    <col min="17" max="18" width="0" hidden="1" customWidth="1"/>
  </cols>
  <sheetData>
    <row r="1" spans="1:18" ht="18" x14ac:dyDescent="0.25">
      <c r="A1" s="735" t="s">
        <v>567</v>
      </c>
      <c r="D1" s="559"/>
      <c r="J1" s="4"/>
      <c r="K1" s="573" t="s">
        <v>331</v>
      </c>
      <c r="M1" s="1014">
        <v>43586</v>
      </c>
    </row>
    <row r="2" spans="1:18" ht="4.5" customHeight="1" thickBot="1" x14ac:dyDescent="0.3"/>
    <row r="3" spans="1:18" s="176" customFormat="1" ht="15.75" customHeight="1" x14ac:dyDescent="0.25">
      <c r="A3" s="293" t="s">
        <v>197</v>
      </c>
      <c r="B3" s="294"/>
      <c r="C3" s="294"/>
      <c r="D3" s="294"/>
      <c r="E3" s="294"/>
      <c r="F3" s="294"/>
      <c r="G3" s="294"/>
      <c r="H3" s="294"/>
      <c r="I3" s="294"/>
      <c r="J3" s="294"/>
      <c r="K3" s="296"/>
      <c r="L3" s="294"/>
      <c r="M3" s="296"/>
    </row>
    <row r="4" spans="1:18" s="176" customFormat="1" ht="30" customHeight="1" thickBot="1" x14ac:dyDescent="0.3">
      <c r="A4" s="297" t="s">
        <v>0</v>
      </c>
      <c r="B4" s="298" t="s">
        <v>1</v>
      </c>
      <c r="C4" s="299" t="s">
        <v>14</v>
      </c>
      <c r="D4" s="298" t="s">
        <v>58</v>
      </c>
      <c r="E4" s="298" t="s">
        <v>18</v>
      </c>
      <c r="F4" s="298" t="s">
        <v>30</v>
      </c>
      <c r="G4" s="298" t="s">
        <v>2</v>
      </c>
      <c r="H4" s="299" t="s">
        <v>3</v>
      </c>
      <c r="I4" s="298" t="s">
        <v>4</v>
      </c>
      <c r="J4" s="299" t="s">
        <v>5</v>
      </c>
      <c r="K4" s="301" t="s">
        <v>31</v>
      </c>
      <c r="L4" s="298" t="s">
        <v>18</v>
      </c>
      <c r="M4" s="301" t="s">
        <v>495</v>
      </c>
      <c r="Q4" s="945"/>
      <c r="R4" s="176" t="s">
        <v>136</v>
      </c>
    </row>
    <row r="5" spans="1:18" s="176" customFormat="1" ht="27" customHeight="1" x14ac:dyDescent="0.25">
      <c r="A5" s="1049" t="s">
        <v>219</v>
      </c>
      <c r="B5" s="119" t="s">
        <v>96</v>
      </c>
      <c r="C5" s="119" t="s">
        <v>97</v>
      </c>
      <c r="D5" s="1138" t="s">
        <v>510</v>
      </c>
      <c r="E5" s="124"/>
      <c r="F5" s="1127" t="s">
        <v>335</v>
      </c>
      <c r="G5" s="1128"/>
      <c r="H5" s="1128"/>
      <c r="I5" s="1128"/>
      <c r="J5" s="1128"/>
      <c r="K5" s="1129"/>
      <c r="L5" s="478"/>
      <c r="M5" s="990"/>
      <c r="Q5" s="946"/>
      <c r="R5" s="176" t="s">
        <v>496</v>
      </c>
    </row>
    <row r="6" spans="1:18" s="176" customFormat="1" ht="27.75" customHeight="1" x14ac:dyDescent="0.25">
      <c r="A6" s="1050"/>
      <c r="B6" s="142" t="s">
        <v>273</v>
      </c>
      <c r="C6" s="142" t="s">
        <v>127</v>
      </c>
      <c r="D6" s="1139"/>
      <c r="E6" s="124"/>
      <c r="F6" s="1130"/>
      <c r="G6" s="1131"/>
      <c r="H6" s="1131"/>
      <c r="I6" s="1131"/>
      <c r="J6" s="1131"/>
      <c r="K6" s="1131"/>
      <c r="L6" s="933"/>
      <c r="M6" s="991"/>
      <c r="Q6" s="947"/>
      <c r="R6" s="176" t="s">
        <v>497</v>
      </c>
    </row>
    <row r="7" spans="1:18" s="176" customFormat="1" ht="27.75" customHeight="1" x14ac:dyDescent="0.25">
      <c r="A7" s="1050"/>
      <c r="B7" s="110" t="s">
        <v>102</v>
      </c>
      <c r="C7" s="110" t="s">
        <v>103</v>
      </c>
      <c r="D7" s="1139"/>
      <c r="E7" s="124"/>
      <c r="F7" s="1130"/>
      <c r="G7" s="1131"/>
      <c r="H7" s="1131"/>
      <c r="I7" s="1131"/>
      <c r="J7" s="1131"/>
      <c r="K7" s="1132"/>
      <c r="L7" s="448"/>
      <c r="M7" s="992"/>
      <c r="Q7" s="948"/>
      <c r="R7" s="176" t="s">
        <v>498</v>
      </c>
    </row>
    <row r="8" spans="1:18" s="176" customFormat="1" ht="12.75" customHeight="1" x14ac:dyDescent="0.25">
      <c r="A8" s="126"/>
      <c r="B8" s="142" t="s">
        <v>104</v>
      </c>
      <c r="C8" s="142" t="s">
        <v>104</v>
      </c>
      <c r="D8" s="1139"/>
      <c r="E8" s="124"/>
      <c r="F8" s="1130"/>
      <c r="G8" s="1131"/>
      <c r="H8" s="1131"/>
      <c r="I8" s="1131"/>
      <c r="J8" s="1131"/>
      <c r="K8" s="1132"/>
      <c r="L8" s="448"/>
      <c r="M8" s="992"/>
    </row>
    <row r="9" spans="1:18" s="176" customFormat="1" ht="14.25" customHeight="1" x14ac:dyDescent="0.25">
      <c r="A9" s="1055" t="s">
        <v>213</v>
      </c>
      <c r="B9" s="91" t="s">
        <v>83</v>
      </c>
      <c r="C9" s="111" t="s">
        <v>105</v>
      </c>
      <c r="D9" s="1139"/>
      <c r="E9" s="384"/>
      <c r="F9" s="1130"/>
      <c r="G9" s="1131"/>
      <c r="H9" s="1131"/>
      <c r="I9" s="1131"/>
      <c r="J9" s="1131"/>
      <c r="K9" s="1132"/>
      <c r="L9" s="932"/>
      <c r="M9" s="993"/>
    </row>
    <row r="10" spans="1:18" ht="41.25" customHeight="1" thickBot="1" x14ac:dyDescent="0.3">
      <c r="A10" s="1052"/>
      <c r="B10" s="91" t="s">
        <v>165</v>
      </c>
      <c r="C10" s="111" t="s">
        <v>275</v>
      </c>
      <c r="D10" s="1140"/>
      <c r="E10" s="124"/>
      <c r="F10" s="1133"/>
      <c r="G10" s="1134"/>
      <c r="H10" s="1134"/>
      <c r="I10" s="1134"/>
      <c r="J10" s="1134"/>
      <c r="K10" s="1135"/>
      <c r="L10" s="939"/>
      <c r="M10" s="994"/>
    </row>
    <row r="11" spans="1:18" ht="15.75" customHeight="1" x14ac:dyDescent="0.25">
      <c r="A11" s="781" t="s">
        <v>198</v>
      </c>
      <c r="B11" s="208"/>
      <c r="C11" s="208"/>
      <c r="D11" s="208"/>
      <c r="E11" s="208"/>
      <c r="F11" s="208"/>
      <c r="G11" s="208"/>
      <c r="H11" s="208"/>
      <c r="I11" s="208"/>
      <c r="J11" s="208"/>
      <c r="K11" s="211"/>
      <c r="L11" s="691"/>
      <c r="M11" s="692"/>
    </row>
    <row r="12" spans="1:18" ht="28.5" customHeight="1" thickBot="1" x14ac:dyDescent="0.3">
      <c r="A12" s="274" t="s">
        <v>0</v>
      </c>
      <c r="B12" s="275" t="s">
        <v>1</v>
      </c>
      <c r="C12" s="276" t="s">
        <v>16</v>
      </c>
      <c r="D12" s="275" t="s">
        <v>58</v>
      </c>
      <c r="E12" s="275" t="s">
        <v>18</v>
      </c>
      <c r="F12" s="275" t="s">
        <v>30</v>
      </c>
      <c r="G12" s="275" t="s">
        <v>2</v>
      </c>
      <c r="H12" s="276" t="s">
        <v>3</v>
      </c>
      <c r="I12" s="275" t="s">
        <v>4</v>
      </c>
      <c r="J12" s="647" t="s">
        <v>5</v>
      </c>
      <c r="K12" s="277" t="s">
        <v>31</v>
      </c>
      <c r="L12" s="275" t="s">
        <v>18</v>
      </c>
      <c r="M12" s="277" t="s">
        <v>495</v>
      </c>
    </row>
    <row r="13" spans="1:18" ht="80.25" customHeight="1" thickBot="1" x14ac:dyDescent="0.3">
      <c r="A13" s="10" t="s">
        <v>204</v>
      </c>
      <c r="B13" s="53" t="s">
        <v>336</v>
      </c>
      <c r="C13" s="3" t="s">
        <v>63</v>
      </c>
      <c r="D13" s="172" t="s">
        <v>247</v>
      </c>
      <c r="E13" s="113"/>
      <c r="F13" s="812">
        <v>2.8750000000000001E-2</v>
      </c>
      <c r="G13" s="398">
        <f>F13*181119.55</f>
        <v>5207.1870625000001</v>
      </c>
      <c r="H13" s="421">
        <v>0</v>
      </c>
      <c r="I13" s="398">
        <f>G13</f>
        <v>5207.1870625000001</v>
      </c>
      <c r="J13" s="421">
        <v>100</v>
      </c>
      <c r="K13" s="399">
        <f>I13*J13/100</f>
        <v>5207.1870625000001</v>
      </c>
      <c r="L13" s="960" t="s">
        <v>136</v>
      </c>
      <c r="M13" s="938"/>
    </row>
    <row r="14" spans="1:18" s="176" customFormat="1" ht="15.75" x14ac:dyDescent="0.25">
      <c r="A14" s="624" t="s">
        <v>209</v>
      </c>
      <c r="B14" s="625"/>
      <c r="C14" s="625"/>
      <c r="D14" s="625"/>
      <c r="E14" s="625"/>
      <c r="F14" s="625"/>
      <c r="G14" s="625"/>
      <c r="H14" s="625"/>
      <c r="I14" s="625"/>
      <c r="J14" s="625"/>
      <c r="K14" s="626"/>
      <c r="L14" s="625"/>
      <c r="M14" s="626"/>
    </row>
    <row r="15" spans="1:18" s="176" customFormat="1" ht="30.75" customHeight="1" thickBot="1" x14ac:dyDescent="0.3">
      <c r="A15" s="627" t="s">
        <v>0</v>
      </c>
      <c r="B15" s="628" t="s">
        <v>1</v>
      </c>
      <c r="C15" s="630" t="s">
        <v>14</v>
      </c>
      <c r="D15" s="628" t="s">
        <v>54</v>
      </c>
      <c r="E15" s="628" t="s">
        <v>18</v>
      </c>
      <c r="F15" s="628" t="s">
        <v>30</v>
      </c>
      <c r="G15" s="628" t="s">
        <v>2</v>
      </c>
      <c r="H15" s="628" t="s">
        <v>3</v>
      </c>
      <c r="I15" s="628" t="s">
        <v>4</v>
      </c>
      <c r="J15" s="631" t="s">
        <v>55</v>
      </c>
      <c r="K15" s="629" t="s">
        <v>56</v>
      </c>
      <c r="L15" s="628" t="s">
        <v>18</v>
      </c>
      <c r="M15" s="629" t="s">
        <v>495</v>
      </c>
    </row>
    <row r="16" spans="1:18" s="176" customFormat="1" ht="54" customHeight="1" thickBot="1" x14ac:dyDescent="0.3">
      <c r="A16" s="118" t="s">
        <v>288</v>
      </c>
      <c r="B16" s="478" t="s">
        <v>112</v>
      </c>
      <c r="C16" s="478" t="s">
        <v>110</v>
      </c>
      <c r="D16" s="986" t="s">
        <v>510</v>
      </c>
      <c r="E16" s="172" t="s">
        <v>111</v>
      </c>
      <c r="F16" s="1136" t="s">
        <v>335</v>
      </c>
      <c r="G16" s="1137"/>
      <c r="H16" s="1137"/>
      <c r="I16" s="1137"/>
      <c r="J16" s="1137"/>
      <c r="K16" s="1137"/>
      <c r="L16" s="968"/>
      <c r="M16" s="989"/>
    </row>
    <row r="17" spans="1:13" ht="18" customHeight="1" thickBot="1" x14ac:dyDescent="0.3">
      <c r="A17" s="36" t="s">
        <v>199</v>
      </c>
      <c r="B17" s="23"/>
      <c r="C17" s="24"/>
      <c r="D17" s="25"/>
      <c r="E17" s="26"/>
      <c r="F17" s="26"/>
      <c r="G17" s="27"/>
      <c r="H17" s="27"/>
      <c r="I17" s="27"/>
      <c r="J17" s="27"/>
      <c r="K17" s="28"/>
      <c r="L17" s="25"/>
      <c r="M17" s="944"/>
    </row>
    <row r="18" spans="1:13" ht="18.75" customHeight="1" x14ac:dyDescent="0.25">
      <c r="A18" s="193" t="s">
        <v>206</v>
      </c>
      <c r="B18" s="194"/>
      <c r="C18" s="194"/>
      <c r="D18" s="194"/>
      <c r="E18" s="194"/>
      <c r="F18" s="194"/>
      <c r="G18" s="194"/>
      <c r="H18" s="194"/>
      <c r="I18" s="194"/>
      <c r="J18" s="194"/>
      <c r="K18" s="195"/>
      <c r="L18" s="194"/>
      <c r="M18" s="195"/>
    </row>
    <row r="19" spans="1:13" ht="30" customHeight="1" thickBot="1" x14ac:dyDescent="0.3">
      <c r="A19" s="279" t="s">
        <v>0</v>
      </c>
      <c r="B19" s="267" t="s">
        <v>1</v>
      </c>
      <c r="C19" s="280" t="s">
        <v>14</v>
      </c>
      <c r="D19" s="267" t="s">
        <v>58</v>
      </c>
      <c r="E19" s="268" t="s">
        <v>18</v>
      </c>
      <c r="F19" s="268" t="s">
        <v>30</v>
      </c>
      <c r="G19" s="268" t="s">
        <v>2</v>
      </c>
      <c r="H19" s="280" t="s">
        <v>3</v>
      </c>
      <c r="I19" s="267" t="s">
        <v>4</v>
      </c>
      <c r="J19" s="280" t="s">
        <v>5</v>
      </c>
      <c r="K19" s="281" t="s">
        <v>31</v>
      </c>
      <c r="L19" s="267" t="s">
        <v>18</v>
      </c>
      <c r="M19" s="281" t="s">
        <v>495</v>
      </c>
    </row>
    <row r="20" spans="1:13" ht="28.5" customHeight="1" x14ac:dyDescent="0.25">
      <c r="A20" s="1049" t="s">
        <v>215</v>
      </c>
      <c r="B20" s="503" t="s">
        <v>291</v>
      </c>
      <c r="C20" s="394" t="s">
        <v>116</v>
      </c>
      <c r="D20" s="1141" t="s">
        <v>510</v>
      </c>
      <c r="E20" s="93"/>
      <c r="F20" s="1127" t="s">
        <v>335</v>
      </c>
      <c r="G20" s="1128"/>
      <c r="H20" s="1128"/>
      <c r="I20" s="1128"/>
      <c r="J20" s="1128"/>
      <c r="K20" s="1129"/>
      <c r="L20" s="934"/>
      <c r="M20" s="1143"/>
    </row>
    <row r="21" spans="1:13" ht="30" customHeight="1" thickBot="1" x14ac:dyDescent="0.3">
      <c r="A21" s="1052"/>
      <c r="B21" s="533" t="s">
        <v>337</v>
      </c>
      <c r="C21" s="112" t="s">
        <v>128</v>
      </c>
      <c r="D21" s="1142"/>
      <c r="E21" s="97"/>
      <c r="F21" s="1133"/>
      <c r="G21" s="1134"/>
      <c r="H21" s="1134"/>
      <c r="I21" s="1134"/>
      <c r="J21" s="1134"/>
      <c r="K21" s="1135"/>
      <c r="L21" s="934"/>
      <c r="M21" s="1144"/>
    </row>
    <row r="22" spans="1:13" s="176" customFormat="1" ht="15.75" x14ac:dyDescent="0.25">
      <c r="A22" s="205" t="s">
        <v>201</v>
      </c>
      <c r="B22" s="648"/>
      <c r="C22" s="648"/>
      <c r="D22" s="648"/>
      <c r="E22" s="648"/>
      <c r="F22" s="648"/>
      <c r="G22" s="648"/>
      <c r="H22" s="648"/>
      <c r="I22" s="648"/>
      <c r="J22" s="648"/>
      <c r="K22" s="648"/>
      <c r="L22" s="206"/>
      <c r="M22" s="210"/>
    </row>
    <row r="23" spans="1:13" ht="27" customHeight="1" thickBot="1" x14ac:dyDescent="0.3">
      <c r="A23" s="271" t="s">
        <v>0</v>
      </c>
      <c r="B23" s="266" t="s">
        <v>1</v>
      </c>
      <c r="C23" s="272" t="s">
        <v>14</v>
      </c>
      <c r="D23" s="266" t="s">
        <v>58</v>
      </c>
      <c r="E23" s="266" t="s">
        <v>18</v>
      </c>
      <c r="F23" s="266" t="s">
        <v>30</v>
      </c>
      <c r="G23" s="266" t="s">
        <v>2</v>
      </c>
      <c r="H23" s="272" t="s">
        <v>3</v>
      </c>
      <c r="I23" s="266" t="s">
        <v>4</v>
      </c>
      <c r="J23" s="272" t="s">
        <v>5</v>
      </c>
      <c r="K23" s="273" t="s">
        <v>31</v>
      </c>
      <c r="L23" s="266" t="s">
        <v>18</v>
      </c>
      <c r="M23" s="273" t="s">
        <v>495</v>
      </c>
    </row>
    <row r="24" spans="1:13" ht="26.25" customHeight="1" x14ac:dyDescent="0.25">
      <c r="A24" s="1049" t="s">
        <v>203</v>
      </c>
      <c r="B24" s="1053" t="s">
        <v>10</v>
      </c>
      <c r="C24" s="462" t="s">
        <v>19</v>
      </c>
      <c r="D24" s="1141" t="s">
        <v>510</v>
      </c>
      <c r="E24" s="135"/>
      <c r="F24" s="86">
        <v>0</v>
      </c>
      <c r="G24" s="61">
        <v>0</v>
      </c>
      <c r="H24" s="87">
        <v>0</v>
      </c>
      <c r="I24" s="87">
        <v>0</v>
      </c>
      <c r="J24" s="87">
        <v>100</v>
      </c>
      <c r="K24" s="88">
        <v>0</v>
      </c>
      <c r="L24" s="969"/>
      <c r="M24" s="1039" t="s">
        <v>548</v>
      </c>
    </row>
    <row r="25" spans="1:13" ht="28.5" customHeight="1" thickBot="1" x14ac:dyDescent="0.3">
      <c r="A25" s="1052"/>
      <c r="B25" s="1054"/>
      <c r="C25" s="463" t="s">
        <v>11</v>
      </c>
      <c r="D25" s="1142"/>
      <c r="E25" s="105"/>
      <c r="F25" s="105"/>
      <c r="G25" s="106"/>
      <c r="H25" s="106"/>
      <c r="I25" s="106"/>
      <c r="J25" s="106"/>
      <c r="K25" s="106"/>
      <c r="L25" s="463"/>
      <c r="M25" s="1040"/>
    </row>
    <row r="26" spans="1:13" ht="7.5" customHeight="1" thickBot="1" x14ac:dyDescent="0.3">
      <c r="B26" s="22"/>
      <c r="G26" s="215" t="s">
        <v>432</v>
      </c>
    </row>
    <row r="27" spans="1:13" ht="15.75" thickBot="1" x14ac:dyDescent="0.3">
      <c r="B27" s="1045" t="s">
        <v>12</v>
      </c>
      <c r="C27" s="32" t="s">
        <v>13</v>
      </c>
      <c r="D27" s="743"/>
      <c r="G27" s="878">
        <v>0</v>
      </c>
      <c r="H27" s="816" t="s">
        <v>304</v>
      </c>
    </row>
    <row r="28" spans="1:13" ht="15.75" thickBot="1" x14ac:dyDescent="0.3">
      <c r="B28" s="1046"/>
      <c r="C28" s="21" t="s">
        <v>20</v>
      </c>
      <c r="D28" s="744">
        <v>5207.1870625000001</v>
      </c>
      <c r="G28" s="846">
        <v>5099</v>
      </c>
      <c r="H28" s="840"/>
    </row>
    <row r="29" spans="1:13" ht="15.75" thickBot="1" x14ac:dyDescent="0.3">
      <c r="B29" s="1046"/>
      <c r="C29" s="21" t="s">
        <v>24</v>
      </c>
      <c r="D29" s="743"/>
      <c r="G29" s="846">
        <v>0</v>
      </c>
      <c r="H29" s="176"/>
    </row>
    <row r="30" spans="1:13" ht="15.75" thickBot="1" x14ac:dyDescent="0.3">
      <c r="B30" s="1046"/>
      <c r="C30" s="44" t="s">
        <v>21</v>
      </c>
      <c r="D30" s="745"/>
      <c r="G30" s="846">
        <v>0</v>
      </c>
    </row>
    <row r="31" spans="1:13" ht="15.75" thickBot="1" x14ac:dyDescent="0.3">
      <c r="B31" s="1048"/>
      <c r="C31" s="746" t="s">
        <v>23</v>
      </c>
      <c r="D31" s="747">
        <v>5207.1870625000001</v>
      </c>
      <c r="E31" s="136"/>
      <c r="F31" s="136"/>
      <c r="G31" s="874">
        <v>5099</v>
      </c>
    </row>
  </sheetData>
  <mergeCells count="14">
    <mergeCell ref="M24:M25"/>
    <mergeCell ref="M20:M21"/>
    <mergeCell ref="B24:B25"/>
    <mergeCell ref="B27:B31"/>
    <mergeCell ref="A24:A25"/>
    <mergeCell ref="D24:D25"/>
    <mergeCell ref="F5:K10"/>
    <mergeCell ref="F16:K16"/>
    <mergeCell ref="F20:K21"/>
    <mergeCell ref="A5:A7"/>
    <mergeCell ref="A20:A21"/>
    <mergeCell ref="A9:A10"/>
    <mergeCell ref="D5:D10"/>
    <mergeCell ref="D20:D21"/>
  </mergeCells>
  <conditionalFormatting sqref="L13">
    <cfRule type="cellIs" dxfId="115" priority="13" operator="equal">
      <formula>$P$7</formula>
    </cfRule>
    <cfRule type="cellIs" dxfId="114" priority="14" operator="equal">
      <formula>$P$6</formula>
    </cfRule>
    <cfRule type="cellIs" dxfId="113" priority="15" operator="equal">
      <formula>$P$5</formula>
    </cfRule>
    <cfRule type="cellIs" dxfId="112" priority="16" operator="notEqual">
      <formula>$P$4</formula>
    </cfRule>
  </conditionalFormatting>
  <dataValidations count="1">
    <dataValidation type="list" allowBlank="1" showInputMessage="1" showErrorMessage="1" sqref="L13" xr:uid="{5C0D80B1-F560-4031-9708-E1A24519C135}">
      <formula1>$P$4:$P$7</formula1>
    </dataValidation>
  </dataValidations>
  <pageMargins left="0.7" right="0.7" top="0.75" bottom="0.75" header="0.3" footer="0.3"/>
  <pageSetup paperSize="8"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249977111117893"/>
  </sheetPr>
  <dimension ref="A1:R38"/>
  <sheetViews>
    <sheetView showWhiteSpace="0" topLeftCell="A19" zoomScaleNormal="100" workbookViewId="0">
      <selection activeCell="C41" sqref="C41"/>
    </sheetView>
  </sheetViews>
  <sheetFormatPr defaultRowHeight="15" x14ac:dyDescent="0.25"/>
  <cols>
    <col min="1" max="1" width="16.7109375" customWidth="1"/>
    <col min="2" max="2" width="47.42578125" customWidth="1"/>
    <col min="3" max="3" width="43.7109375" customWidth="1"/>
    <col min="4" max="4" width="37.85546875" customWidth="1"/>
    <col min="5" max="5" width="8.140625" hidden="1" customWidth="1"/>
    <col min="6" max="6" width="7" hidden="1" customWidth="1"/>
    <col min="7" max="7" width="7.5703125" hidden="1" customWidth="1"/>
    <col min="8" max="8" width="10.42578125" hidden="1" customWidth="1"/>
    <col min="9" max="9" width="7.7109375" hidden="1" customWidth="1"/>
    <col min="10" max="10" width="5.7109375" hidden="1" customWidth="1"/>
    <col min="11" max="11" width="10.140625" hidden="1" customWidth="1"/>
    <col min="13" max="13" width="37" customWidth="1"/>
    <col min="17" max="18" width="0" hidden="1" customWidth="1"/>
  </cols>
  <sheetData>
    <row r="1" spans="1:18" ht="23.25" customHeight="1" x14ac:dyDescent="0.25">
      <c r="A1" s="766" t="s">
        <v>568</v>
      </c>
      <c r="J1" s="4"/>
      <c r="K1" s="573" t="s">
        <v>331</v>
      </c>
      <c r="M1" s="1014">
        <v>43586</v>
      </c>
    </row>
    <row r="2" spans="1:18" ht="6.75" customHeight="1" thickBot="1" x14ac:dyDescent="0.3"/>
    <row r="3" spans="1:18" s="176" customFormat="1" ht="20.25" customHeight="1" x14ac:dyDescent="0.25">
      <c r="A3" s="632" t="s">
        <v>197</v>
      </c>
      <c r="B3" s="294"/>
      <c r="C3" s="294"/>
      <c r="D3" s="294"/>
      <c r="E3" s="294"/>
      <c r="F3" s="294"/>
      <c r="G3" s="294"/>
      <c r="H3" s="294"/>
      <c r="I3" s="294"/>
      <c r="J3" s="294"/>
      <c r="K3" s="296"/>
      <c r="L3" s="294"/>
      <c r="M3" s="296"/>
    </row>
    <row r="4" spans="1:18" s="176" customFormat="1" ht="32.25" customHeight="1" thickBot="1" x14ac:dyDescent="0.3">
      <c r="A4" s="297" t="s">
        <v>0</v>
      </c>
      <c r="B4" s="298" t="s">
        <v>1</v>
      </c>
      <c r="C4" s="299" t="s">
        <v>14</v>
      </c>
      <c r="D4" s="298" t="s">
        <v>58</v>
      </c>
      <c r="E4" s="298" t="s">
        <v>18</v>
      </c>
      <c r="F4" s="298" t="s">
        <v>30</v>
      </c>
      <c r="G4" s="298" t="s">
        <v>2</v>
      </c>
      <c r="H4" s="299" t="s">
        <v>3</v>
      </c>
      <c r="I4" s="298" t="s">
        <v>4</v>
      </c>
      <c r="J4" s="299" t="s">
        <v>5</v>
      </c>
      <c r="K4" s="301" t="s">
        <v>31</v>
      </c>
      <c r="L4" s="298" t="s">
        <v>18</v>
      </c>
      <c r="M4" s="301" t="s">
        <v>495</v>
      </c>
      <c r="Q4" s="945"/>
      <c r="R4" s="176" t="s">
        <v>136</v>
      </c>
    </row>
    <row r="5" spans="1:18" s="176" customFormat="1" ht="29.25" customHeight="1" x14ac:dyDescent="0.25">
      <c r="A5" s="1049" t="s">
        <v>219</v>
      </c>
      <c r="B5" s="142" t="s">
        <v>163</v>
      </c>
      <c r="C5" s="142" t="s">
        <v>127</v>
      </c>
      <c r="D5" s="751" t="s">
        <v>382</v>
      </c>
      <c r="E5" s="124"/>
      <c r="F5" s="763">
        <v>8.9050000000000004E-2</v>
      </c>
      <c r="G5" s="65">
        <f>F5*(153939*1.025)</f>
        <v>14050.974648749998</v>
      </c>
      <c r="H5" s="65">
        <v>1896</v>
      </c>
      <c r="I5" s="577">
        <f>H5+G5</f>
        <v>15946.974648749998</v>
      </c>
      <c r="J5" s="62">
        <v>100</v>
      </c>
      <c r="K5" s="63">
        <f>($I$5*$J$5)/100</f>
        <v>15946.974648749998</v>
      </c>
      <c r="L5" s="960" t="s">
        <v>136</v>
      </c>
      <c r="M5" s="941" t="s">
        <v>633</v>
      </c>
      <c r="Q5" s="946"/>
      <c r="R5" s="176" t="s">
        <v>496</v>
      </c>
    </row>
    <row r="6" spans="1:18" s="176" customFormat="1" ht="28.5" customHeight="1" x14ac:dyDescent="0.25">
      <c r="A6" s="1050"/>
      <c r="B6" s="110" t="s">
        <v>102</v>
      </c>
      <c r="C6" s="110" t="s">
        <v>103</v>
      </c>
      <c r="D6" s="1043" t="s">
        <v>381</v>
      </c>
      <c r="E6" s="124"/>
      <c r="F6" s="235"/>
      <c r="G6" s="127"/>
      <c r="H6" s="127"/>
      <c r="I6" s="127"/>
      <c r="J6" s="235"/>
      <c r="K6" s="235"/>
      <c r="L6" s="1062" t="s">
        <v>136</v>
      </c>
      <c r="M6" s="943" t="s">
        <v>634</v>
      </c>
      <c r="Q6" s="947"/>
      <c r="R6" s="176" t="s">
        <v>497</v>
      </c>
    </row>
    <row r="7" spans="1:18" s="176" customFormat="1" ht="14.25" customHeight="1" x14ac:dyDescent="0.25">
      <c r="A7" s="1050"/>
      <c r="B7" s="142" t="s">
        <v>104</v>
      </c>
      <c r="C7" s="142" t="s">
        <v>104</v>
      </c>
      <c r="D7" s="1044"/>
      <c r="E7" s="124"/>
      <c r="F7" s="235"/>
      <c r="G7" s="127"/>
      <c r="H7" s="127"/>
      <c r="I7" s="127"/>
      <c r="J7" s="235"/>
      <c r="K7" s="235"/>
      <c r="L7" s="1063"/>
      <c r="M7" s="943"/>
      <c r="Q7" s="948"/>
      <c r="R7" s="176" t="s">
        <v>498</v>
      </c>
    </row>
    <row r="8" spans="1:18" ht="40.5" customHeight="1" x14ac:dyDescent="0.25">
      <c r="A8" s="150" t="s">
        <v>213</v>
      </c>
      <c r="B8" s="91" t="s">
        <v>83</v>
      </c>
      <c r="C8" s="111" t="s">
        <v>105</v>
      </c>
      <c r="D8" s="111" t="s">
        <v>106</v>
      </c>
      <c r="E8" s="124"/>
      <c r="F8" s="125"/>
      <c r="G8" s="236"/>
      <c r="H8" s="65"/>
      <c r="I8" s="497"/>
      <c r="J8" s="62"/>
      <c r="K8" s="498"/>
      <c r="L8" s="960" t="s">
        <v>136</v>
      </c>
      <c r="M8" s="1017" t="s">
        <v>586</v>
      </c>
    </row>
    <row r="9" spans="1:18" ht="45" customHeight="1" thickBot="1" x14ac:dyDescent="0.3">
      <c r="A9" s="364"/>
      <c r="B9" s="353" t="s">
        <v>165</v>
      </c>
      <c r="C9" s="414" t="s">
        <v>107</v>
      </c>
      <c r="D9" s="414" t="s">
        <v>274</v>
      </c>
      <c r="E9" s="130"/>
      <c r="F9" s="507"/>
      <c r="G9" s="508"/>
      <c r="H9" s="508"/>
      <c r="I9" s="508"/>
      <c r="J9" s="507"/>
      <c r="K9" s="509"/>
      <c r="L9" s="960" t="s">
        <v>136</v>
      </c>
      <c r="M9" s="988" t="s">
        <v>635</v>
      </c>
      <c r="N9" s="721"/>
    </row>
    <row r="10" spans="1:18" ht="19.5" customHeight="1" x14ac:dyDescent="0.25">
      <c r="A10" s="650" t="s">
        <v>198</v>
      </c>
      <c r="B10" s="208"/>
      <c r="C10" s="208"/>
      <c r="D10" s="208"/>
      <c r="E10" s="208"/>
      <c r="F10" s="208"/>
      <c r="G10" s="208"/>
      <c r="H10" s="208"/>
      <c r="I10" s="208"/>
      <c r="J10" s="208"/>
      <c r="K10" s="211"/>
      <c r="L10" s="691"/>
      <c r="M10" s="692"/>
    </row>
    <row r="11" spans="1:18" ht="32.25" customHeight="1" thickBot="1" x14ac:dyDescent="0.3">
      <c r="A11" s="274" t="s">
        <v>0</v>
      </c>
      <c r="B11" s="275" t="s">
        <v>1</v>
      </c>
      <c r="C11" s="276" t="s">
        <v>16</v>
      </c>
      <c r="D11" s="275" t="s">
        <v>58</v>
      </c>
      <c r="E11" s="275" t="s">
        <v>18</v>
      </c>
      <c r="F11" s="275" t="s">
        <v>30</v>
      </c>
      <c r="G11" s="275" t="s">
        <v>2</v>
      </c>
      <c r="H11" s="276" t="s">
        <v>3</v>
      </c>
      <c r="I11" s="275" t="s">
        <v>4</v>
      </c>
      <c r="J11" s="647" t="s">
        <v>5</v>
      </c>
      <c r="K11" s="277" t="s">
        <v>31</v>
      </c>
      <c r="L11" s="275" t="s">
        <v>18</v>
      </c>
      <c r="M11" s="277" t="s">
        <v>495</v>
      </c>
    </row>
    <row r="12" spans="1:18" ht="93" customHeight="1" thickBot="1" x14ac:dyDescent="0.3">
      <c r="A12" s="10" t="s">
        <v>204</v>
      </c>
      <c r="B12" s="53" t="s">
        <v>650</v>
      </c>
      <c r="C12" s="3" t="s">
        <v>63</v>
      </c>
      <c r="D12" s="172" t="s">
        <v>285</v>
      </c>
      <c r="E12" s="113"/>
      <c r="F12" s="812">
        <v>9.8879999999999992E-3</v>
      </c>
      <c r="G12" s="398">
        <f>F12*(176702*1.025)</f>
        <v>1790.9101103999997</v>
      </c>
      <c r="H12" s="421">
        <v>0</v>
      </c>
      <c r="I12" s="398">
        <f>G12</f>
        <v>1790.9101103999997</v>
      </c>
      <c r="J12" s="421">
        <v>100</v>
      </c>
      <c r="K12" s="399">
        <f>I12*J12/100</f>
        <v>1790.9101103999994</v>
      </c>
      <c r="L12" s="960" t="s">
        <v>136</v>
      </c>
      <c r="M12" s="938"/>
    </row>
    <row r="13" spans="1:18" s="176" customFormat="1" ht="20.25" hidden="1" customHeight="1" x14ac:dyDescent="0.25">
      <c r="A13" s="651" t="s">
        <v>209</v>
      </c>
      <c r="B13" s="625"/>
      <c r="C13" s="625"/>
      <c r="D13" s="625"/>
      <c r="E13" s="625"/>
      <c r="F13" s="625"/>
      <c r="G13" s="625"/>
      <c r="H13" s="625"/>
      <c r="I13" s="625"/>
      <c r="J13" s="625"/>
      <c r="K13" s="626"/>
      <c r="L13" s="625"/>
      <c r="M13" s="626"/>
    </row>
    <row r="14" spans="1:18" s="176" customFormat="1" ht="31.5" hidden="1" customHeight="1" thickBot="1" x14ac:dyDescent="0.3">
      <c r="A14" s="627" t="s">
        <v>0</v>
      </c>
      <c r="B14" s="628" t="s">
        <v>1</v>
      </c>
      <c r="C14" s="630" t="s">
        <v>14</v>
      </c>
      <c r="D14" s="628" t="s">
        <v>54</v>
      </c>
      <c r="E14" s="628" t="s">
        <v>18</v>
      </c>
      <c r="F14" s="628" t="s">
        <v>30</v>
      </c>
      <c r="G14" s="628" t="s">
        <v>2</v>
      </c>
      <c r="H14" s="628" t="s">
        <v>3</v>
      </c>
      <c r="I14" s="628" t="s">
        <v>4</v>
      </c>
      <c r="J14" s="631" t="s">
        <v>55</v>
      </c>
      <c r="K14" s="629" t="s">
        <v>15</v>
      </c>
      <c r="L14" s="628" t="s">
        <v>18</v>
      </c>
      <c r="M14" s="629" t="s">
        <v>495</v>
      </c>
    </row>
    <row r="15" spans="1:18" s="176" customFormat="1" ht="81" hidden="1" customHeight="1" thickBot="1" x14ac:dyDescent="0.3">
      <c r="A15" s="118" t="s">
        <v>288</v>
      </c>
      <c r="B15" s="478" t="s">
        <v>112</v>
      </c>
      <c r="C15" s="478" t="s">
        <v>110</v>
      </c>
      <c r="D15" s="479" t="s">
        <v>132</v>
      </c>
      <c r="E15" s="172" t="s">
        <v>111</v>
      </c>
      <c r="F15" s="90">
        <v>0</v>
      </c>
      <c r="G15" s="64">
        <v>0</v>
      </c>
      <c r="H15" s="64">
        <v>0</v>
      </c>
      <c r="I15" s="85">
        <f>G15+H15</f>
        <v>0</v>
      </c>
      <c r="J15" s="59">
        <v>100</v>
      </c>
      <c r="K15" s="967">
        <f>I15*J15/100</f>
        <v>0</v>
      </c>
      <c r="L15" s="968"/>
      <c r="M15" s="989"/>
    </row>
    <row r="16" spans="1:18" ht="19.5" customHeight="1" thickBot="1" x14ac:dyDescent="0.3">
      <c r="A16" s="36" t="s">
        <v>199</v>
      </c>
      <c r="B16" s="23"/>
      <c r="C16" s="24"/>
      <c r="D16" s="25"/>
      <c r="E16" s="26"/>
      <c r="F16" s="26"/>
      <c r="G16" s="27"/>
      <c r="H16" s="27"/>
      <c r="I16" s="27"/>
      <c r="J16" s="27"/>
      <c r="K16" s="28"/>
      <c r="L16" s="25"/>
      <c r="M16" s="944"/>
    </row>
    <row r="17" spans="1:13" ht="17.25" customHeight="1" x14ac:dyDescent="0.25">
      <c r="A17" s="638" t="s">
        <v>206</v>
      </c>
      <c r="B17" s="194"/>
      <c r="C17" s="194"/>
      <c r="D17" s="194"/>
      <c r="E17" s="194"/>
      <c r="F17" s="194"/>
      <c r="G17" s="194"/>
      <c r="H17" s="194"/>
      <c r="I17" s="194"/>
      <c r="J17" s="194"/>
      <c r="K17" s="195"/>
      <c r="L17" s="194"/>
      <c r="M17" s="195"/>
    </row>
    <row r="18" spans="1:13" ht="30.75" customHeight="1" thickBot="1" x14ac:dyDescent="0.3">
      <c r="A18" s="279" t="s">
        <v>0</v>
      </c>
      <c r="B18" s="267" t="s">
        <v>1</v>
      </c>
      <c r="C18" s="280" t="s">
        <v>14</v>
      </c>
      <c r="D18" s="267" t="s">
        <v>58</v>
      </c>
      <c r="E18" s="268" t="s">
        <v>18</v>
      </c>
      <c r="F18" s="268" t="s">
        <v>30</v>
      </c>
      <c r="G18" s="268" t="s">
        <v>2</v>
      </c>
      <c r="H18" s="280" t="s">
        <v>3</v>
      </c>
      <c r="I18" s="267" t="s">
        <v>4</v>
      </c>
      <c r="J18" s="280" t="s">
        <v>5</v>
      </c>
      <c r="K18" s="281" t="s">
        <v>31</v>
      </c>
      <c r="L18" s="267" t="s">
        <v>18</v>
      </c>
      <c r="M18" s="281" t="s">
        <v>495</v>
      </c>
    </row>
    <row r="19" spans="1:13" ht="27.75" customHeight="1" x14ac:dyDescent="0.25">
      <c r="A19" s="1111" t="s">
        <v>202</v>
      </c>
      <c r="B19" s="1109" t="s">
        <v>8</v>
      </c>
      <c r="C19" s="499" t="s">
        <v>9</v>
      </c>
      <c r="D19" s="499" t="s">
        <v>34</v>
      </c>
      <c r="E19" s="93"/>
      <c r="F19" s="591">
        <v>1.8700000000000001E-2</v>
      </c>
      <c r="G19" s="151">
        <f>F19*(128495*1.025)</f>
        <v>2462.9279125000003</v>
      </c>
      <c r="H19" s="152">
        <v>2889</v>
      </c>
      <c r="I19" s="115">
        <f>G19+H19</f>
        <v>5351.9279125000003</v>
      </c>
      <c r="J19" s="153">
        <v>100</v>
      </c>
      <c r="K19" s="154">
        <f>I19*J19/100</f>
        <v>5351.9279125000003</v>
      </c>
      <c r="L19" s="960" t="s">
        <v>136</v>
      </c>
      <c r="M19" s="1012" t="s">
        <v>544</v>
      </c>
    </row>
    <row r="20" spans="1:13" ht="30" customHeight="1" thickBot="1" x14ac:dyDescent="0.3">
      <c r="A20" s="1112"/>
      <c r="B20" s="1110"/>
      <c r="C20" s="544" t="s">
        <v>269</v>
      </c>
      <c r="D20" s="544" t="s">
        <v>35</v>
      </c>
      <c r="E20" s="97"/>
      <c r="F20" s="591">
        <v>4.9500000000000002E-2</v>
      </c>
      <c r="G20" s="151">
        <f>F20*(128495*1.025)</f>
        <v>6519.5150625000006</v>
      </c>
      <c r="H20" s="152">
        <v>1389</v>
      </c>
      <c r="I20" s="115">
        <f>G20+H20</f>
        <v>7908.5150625000006</v>
      </c>
      <c r="J20" s="153">
        <v>100</v>
      </c>
      <c r="K20" s="154">
        <f>I20*J20/100</f>
        <v>7908.5150625000006</v>
      </c>
      <c r="L20" s="960" t="s">
        <v>136</v>
      </c>
      <c r="M20" s="942" t="s">
        <v>533</v>
      </c>
    </row>
    <row r="21" spans="1:13" s="176" customFormat="1" ht="18" customHeight="1" x14ac:dyDescent="0.25">
      <c r="A21" s="635" t="s">
        <v>201</v>
      </c>
      <c r="B21" s="648"/>
      <c r="C21" s="648"/>
      <c r="D21" s="648"/>
      <c r="E21" s="648"/>
      <c r="F21" s="648"/>
      <c r="G21" s="648"/>
      <c r="H21" s="648"/>
      <c r="I21" s="648"/>
      <c r="J21" s="648"/>
      <c r="K21" s="649"/>
      <c r="L21" s="206"/>
      <c r="M21" s="210"/>
    </row>
    <row r="22" spans="1:13" ht="30" customHeight="1" thickBot="1" x14ac:dyDescent="0.3">
      <c r="A22" s="271" t="s">
        <v>0</v>
      </c>
      <c r="B22" s="266" t="s">
        <v>1</v>
      </c>
      <c r="C22" s="272" t="s">
        <v>14</v>
      </c>
      <c r="D22" s="266" t="s">
        <v>58</v>
      </c>
      <c r="E22" s="266" t="s">
        <v>18</v>
      </c>
      <c r="F22" s="266" t="s">
        <v>30</v>
      </c>
      <c r="G22" s="266" t="s">
        <v>2</v>
      </c>
      <c r="H22" s="272" t="s">
        <v>3</v>
      </c>
      <c r="I22" s="266" t="s">
        <v>4</v>
      </c>
      <c r="J22" s="272" t="s">
        <v>5</v>
      </c>
      <c r="K22" s="273" t="s">
        <v>31</v>
      </c>
      <c r="L22" s="266" t="s">
        <v>18</v>
      </c>
      <c r="M22" s="273" t="s">
        <v>495</v>
      </c>
    </row>
    <row r="23" spans="1:13" ht="27" customHeight="1" x14ac:dyDescent="0.25">
      <c r="A23" s="1049" t="s">
        <v>203</v>
      </c>
      <c r="B23" s="1053" t="s">
        <v>10</v>
      </c>
      <c r="C23" s="462" t="s">
        <v>19</v>
      </c>
      <c r="D23" s="103" t="s">
        <v>245</v>
      </c>
      <c r="E23" s="135"/>
      <c r="F23" s="86">
        <v>0</v>
      </c>
      <c r="G23" s="61">
        <v>0</v>
      </c>
      <c r="H23" s="87">
        <f>90*21.42</f>
        <v>1927.8000000000002</v>
      </c>
      <c r="I23" s="87">
        <f>H23</f>
        <v>1927.8000000000002</v>
      </c>
      <c r="J23" s="87">
        <v>100</v>
      </c>
      <c r="K23" s="88">
        <f>I23*J23/100</f>
        <v>1927.8000000000002</v>
      </c>
      <c r="L23" s="960" t="s">
        <v>136</v>
      </c>
      <c r="M23" s="1039" t="s">
        <v>548</v>
      </c>
    </row>
    <row r="24" spans="1:13" ht="28.5" customHeight="1" thickBot="1" x14ac:dyDescent="0.3">
      <c r="A24" s="1052"/>
      <c r="B24" s="1054"/>
      <c r="C24" s="463" t="s">
        <v>11</v>
      </c>
      <c r="D24" s="196" t="s">
        <v>246</v>
      </c>
      <c r="E24" s="105"/>
      <c r="F24" s="105"/>
      <c r="G24" s="106"/>
      <c r="H24" s="106"/>
      <c r="I24" s="106"/>
      <c r="J24" s="106"/>
      <c r="K24" s="106"/>
      <c r="L24" s="961" t="s">
        <v>136</v>
      </c>
      <c r="M24" s="1040"/>
    </row>
    <row r="25" spans="1:13" ht="18" customHeight="1" thickBot="1" x14ac:dyDescent="0.3">
      <c r="B25" s="22"/>
      <c r="G25" s="890" t="s">
        <v>432</v>
      </c>
    </row>
    <row r="26" spans="1:13" ht="15.75" thickBot="1" x14ac:dyDescent="0.3">
      <c r="B26" s="1045" t="s">
        <v>12</v>
      </c>
      <c r="C26" s="32" t="s">
        <v>13</v>
      </c>
      <c r="D26" s="914">
        <v>0</v>
      </c>
      <c r="G26" s="841">
        <v>0</v>
      </c>
      <c r="H26" s="458"/>
      <c r="I26" s="458" t="s">
        <v>440</v>
      </c>
    </row>
    <row r="27" spans="1:13" ht="15.75" thickBot="1" x14ac:dyDescent="0.3">
      <c r="B27" s="1046"/>
      <c r="C27" s="21" t="s">
        <v>20</v>
      </c>
      <c r="D27" s="465">
        <v>1790.9101103999994</v>
      </c>
      <c r="G27" s="892">
        <v>1802</v>
      </c>
    </row>
    <row r="28" spans="1:13" ht="15.75" thickBot="1" x14ac:dyDescent="0.3">
      <c r="B28" s="1046"/>
      <c r="C28" s="21" t="s">
        <v>24</v>
      </c>
      <c r="D28" s="914">
        <v>15946.974648749998</v>
      </c>
      <c r="G28" s="846">
        <v>15751</v>
      </c>
      <c r="L28" s="176"/>
      <c r="M28" s="176"/>
    </row>
    <row r="29" spans="1:13" ht="15.75" thickBot="1" x14ac:dyDescent="0.3">
      <c r="B29" s="1046"/>
      <c r="C29" s="44" t="s">
        <v>21</v>
      </c>
      <c r="D29" s="915">
        <v>15188.242975000001</v>
      </c>
      <c r="G29" s="872">
        <v>15113.2</v>
      </c>
    </row>
    <row r="30" spans="1:13" hidden="1" x14ac:dyDescent="0.25">
      <c r="B30" s="1047"/>
      <c r="C30" s="45" t="s">
        <v>25</v>
      </c>
      <c r="D30" s="916">
        <v>13260.442975000002</v>
      </c>
      <c r="G30" s="891">
        <v>13144</v>
      </c>
    </row>
    <row r="31" spans="1:13" ht="15.75" hidden="1" thickBot="1" x14ac:dyDescent="0.3">
      <c r="B31" s="1047"/>
      <c r="C31" s="46" t="s">
        <v>26</v>
      </c>
      <c r="D31" s="917">
        <v>1927.8000000000002</v>
      </c>
      <c r="G31" s="891">
        <v>1969.1999999999998</v>
      </c>
    </row>
    <row r="32" spans="1:13" ht="15.75" thickBot="1" x14ac:dyDescent="0.3">
      <c r="B32" s="1048"/>
      <c r="C32" s="528" t="s">
        <v>429</v>
      </c>
      <c r="D32" s="527">
        <v>32926.127734149995</v>
      </c>
      <c r="E32" s="136"/>
      <c r="F32" s="136"/>
      <c r="G32" s="874">
        <v>32666.2</v>
      </c>
    </row>
    <row r="33" spans="1:13" s="176" customFormat="1" x14ac:dyDescent="0.25">
      <c r="A33" s="176" t="s">
        <v>374</v>
      </c>
      <c r="B33" s="526"/>
      <c r="C33" s="458"/>
      <c r="D33" s="543"/>
      <c r="E33" s="136"/>
      <c r="F33" s="136"/>
      <c r="L33"/>
      <c r="M33"/>
    </row>
    <row r="34" spans="1:13" x14ac:dyDescent="0.25">
      <c r="A34" s="176" t="s">
        <v>392</v>
      </c>
      <c r="B34" s="33"/>
      <c r="D34" s="458"/>
      <c r="E34" s="54" t="s">
        <v>74</v>
      </c>
      <c r="F34" s="54"/>
      <c r="G34" s="107">
        <v>24.19</v>
      </c>
    </row>
    <row r="35" spans="1:13" x14ac:dyDescent="0.25">
      <c r="A35" t="s">
        <v>430</v>
      </c>
      <c r="B35" s="33"/>
      <c r="C35" s="33"/>
      <c r="D35" s="33"/>
    </row>
    <row r="36" spans="1:13" x14ac:dyDescent="0.25">
      <c r="C36" s="33"/>
      <c r="D36" s="33"/>
      <c r="E36" s="47">
        <v>23</v>
      </c>
      <c r="F36" s="47"/>
    </row>
    <row r="37" spans="1:13" x14ac:dyDescent="0.25">
      <c r="E37" s="47">
        <v>460</v>
      </c>
      <c r="F37" s="47"/>
    </row>
    <row r="38" spans="1:13" x14ac:dyDescent="0.25">
      <c r="E38" s="47">
        <v>23</v>
      </c>
      <c r="F38" s="47"/>
    </row>
  </sheetData>
  <mergeCells count="9">
    <mergeCell ref="A19:A20"/>
    <mergeCell ref="A23:A24"/>
    <mergeCell ref="A5:A7"/>
    <mergeCell ref="B19:B20"/>
    <mergeCell ref="M23:M24"/>
    <mergeCell ref="L6:L7"/>
    <mergeCell ref="D6:D7"/>
    <mergeCell ref="B23:B24"/>
    <mergeCell ref="B26:B32"/>
  </mergeCells>
  <conditionalFormatting sqref="L5:L6 L8:L9">
    <cfRule type="cellIs" dxfId="111" priority="13" operator="equal">
      <formula>$P$7</formula>
    </cfRule>
    <cfRule type="cellIs" dxfId="110" priority="14" operator="equal">
      <formula>$P$6</formula>
    </cfRule>
    <cfRule type="cellIs" dxfId="109" priority="15" operator="equal">
      <formula>$P$5</formula>
    </cfRule>
    <cfRule type="cellIs" dxfId="108" priority="16" operator="notEqual">
      <formula>$P$4</formula>
    </cfRule>
  </conditionalFormatting>
  <conditionalFormatting sqref="L12">
    <cfRule type="cellIs" dxfId="107" priority="9" operator="equal">
      <formula>$P$7</formula>
    </cfRule>
    <cfRule type="cellIs" dxfId="106" priority="10" operator="equal">
      <formula>$P$6</formula>
    </cfRule>
    <cfRule type="cellIs" dxfId="105" priority="11" operator="equal">
      <formula>$P$5</formula>
    </cfRule>
    <cfRule type="cellIs" dxfId="104" priority="12" operator="notEqual">
      <formula>$P$4</formula>
    </cfRule>
  </conditionalFormatting>
  <conditionalFormatting sqref="L23:L24">
    <cfRule type="cellIs" dxfId="103" priority="1" operator="equal">
      <formula>$P$7</formula>
    </cfRule>
    <cfRule type="cellIs" dxfId="102" priority="2" operator="equal">
      <formula>$P$6</formula>
    </cfRule>
    <cfRule type="cellIs" dxfId="101" priority="3" operator="equal">
      <formula>$P$5</formula>
    </cfRule>
    <cfRule type="cellIs" dxfId="100" priority="4" operator="notEqual">
      <formula>$P$4</formula>
    </cfRule>
  </conditionalFormatting>
  <conditionalFormatting sqref="L19:L20">
    <cfRule type="cellIs" dxfId="99" priority="5" operator="equal">
      <formula>$P$7</formula>
    </cfRule>
    <cfRule type="cellIs" dxfId="98" priority="6" operator="equal">
      <formula>$P$6</formula>
    </cfRule>
    <cfRule type="cellIs" dxfId="97" priority="7" operator="equal">
      <formula>$P$5</formula>
    </cfRule>
    <cfRule type="cellIs" dxfId="96" priority="8" operator="notEqual">
      <formula>$P$4</formula>
    </cfRule>
  </conditionalFormatting>
  <dataValidations count="1">
    <dataValidation type="list" allowBlank="1" showInputMessage="1" showErrorMessage="1" sqref="L23:L24 L12 L19:L20 L5:L6 L8:L9" xr:uid="{F99EB6F3-B839-417C-9E60-445D5C645AF5}">
      <formula1>$P$4:$P$7</formula1>
    </dataValidation>
  </dataValidations>
  <pageMargins left="0.62992125984251968" right="0.62992125984251968" top="0.74803149606299213" bottom="0.74803149606299213" header="0.31496062992125984" footer="0.31496062992125984"/>
  <pageSetup paperSize="8"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249977111117893"/>
  </sheetPr>
  <dimension ref="A1:R37"/>
  <sheetViews>
    <sheetView showWhiteSpace="0" topLeftCell="A6" zoomScaleNormal="100" workbookViewId="0">
      <selection activeCell="A16" sqref="A16:XFD16"/>
    </sheetView>
  </sheetViews>
  <sheetFormatPr defaultRowHeight="15" x14ac:dyDescent="0.25"/>
  <cols>
    <col min="1" max="1" width="16.5703125" customWidth="1"/>
    <col min="2" max="2" width="46.7109375" customWidth="1"/>
    <col min="3" max="3" width="39.85546875" customWidth="1"/>
    <col min="4" max="4" width="47.28515625" customWidth="1"/>
    <col min="5" max="5" width="1.7109375" hidden="1" customWidth="1"/>
    <col min="6" max="6" width="7.42578125" hidden="1" customWidth="1"/>
    <col min="7" max="7" width="7.5703125" hidden="1" customWidth="1"/>
    <col min="8" max="8" width="9.85546875" hidden="1" customWidth="1"/>
    <col min="9" max="9" width="7.140625" hidden="1" customWidth="1"/>
    <col min="10" max="10" width="5.7109375" hidden="1" customWidth="1"/>
    <col min="11" max="11" width="4.85546875" hidden="1" customWidth="1"/>
    <col min="13" max="13" width="24.85546875" customWidth="1"/>
    <col min="17" max="18" width="0" hidden="1" customWidth="1"/>
  </cols>
  <sheetData>
    <row r="1" spans="1:18" ht="18" x14ac:dyDescent="0.25">
      <c r="A1" s="735" t="s">
        <v>569</v>
      </c>
      <c r="J1" s="4"/>
      <c r="K1" s="573" t="s">
        <v>331</v>
      </c>
      <c r="M1" s="1014">
        <v>43586</v>
      </c>
    </row>
    <row r="2" spans="1:18" ht="5.25" customHeight="1" thickBot="1" x14ac:dyDescent="0.3"/>
    <row r="3" spans="1:18" s="176" customFormat="1" ht="17.25" customHeight="1" x14ac:dyDescent="0.25">
      <c r="A3" s="293" t="s">
        <v>211</v>
      </c>
      <c r="B3" s="294"/>
      <c r="C3" s="294"/>
      <c r="D3" s="294"/>
      <c r="E3" s="294"/>
      <c r="F3" s="294"/>
      <c r="G3" s="294"/>
      <c r="H3" s="294"/>
      <c r="I3" s="294"/>
      <c r="J3" s="294"/>
      <c r="K3" s="296"/>
      <c r="L3" s="294"/>
      <c r="M3" s="296"/>
    </row>
    <row r="4" spans="1:18" s="176" customFormat="1" ht="33" customHeight="1" thickBot="1" x14ac:dyDescent="0.3">
      <c r="A4" s="297" t="s">
        <v>196</v>
      </c>
      <c r="B4" s="298" t="s">
        <v>1</v>
      </c>
      <c r="C4" s="299" t="s">
        <v>14</v>
      </c>
      <c r="D4" s="298" t="s">
        <v>58</v>
      </c>
      <c r="E4" s="298" t="s">
        <v>18</v>
      </c>
      <c r="F4" s="298" t="s">
        <v>30</v>
      </c>
      <c r="G4" s="298" t="s">
        <v>2</v>
      </c>
      <c r="H4" s="299" t="s">
        <v>3</v>
      </c>
      <c r="I4" s="298" t="s">
        <v>4</v>
      </c>
      <c r="J4" s="299" t="s">
        <v>5</v>
      </c>
      <c r="K4" s="301" t="s">
        <v>31</v>
      </c>
      <c r="L4" s="298" t="s">
        <v>18</v>
      </c>
      <c r="M4" s="301" t="s">
        <v>495</v>
      </c>
      <c r="Q4" s="945"/>
      <c r="R4" s="176" t="s">
        <v>136</v>
      </c>
    </row>
    <row r="5" spans="1:18" s="176" customFormat="1" ht="30.75" customHeight="1" x14ac:dyDescent="0.25">
      <c r="A5" s="1049" t="s">
        <v>219</v>
      </c>
      <c r="B5" s="505" t="s">
        <v>268</v>
      </c>
      <c r="C5" s="505" t="s">
        <v>127</v>
      </c>
      <c r="D5" s="119" t="s">
        <v>134</v>
      </c>
      <c r="E5" s="124"/>
      <c r="F5" s="764">
        <v>4.9800000000000001E-3</v>
      </c>
      <c r="G5" s="65">
        <f>F5*(153939*1.025)</f>
        <v>785.7816254999999</v>
      </c>
      <c r="H5" s="65">
        <v>0</v>
      </c>
      <c r="I5" s="577">
        <f>H5+G5</f>
        <v>785.7816254999999</v>
      </c>
      <c r="J5" s="62">
        <v>100</v>
      </c>
      <c r="K5" s="63">
        <f>($I$5*$J$5)/100</f>
        <v>785.7816254999999</v>
      </c>
      <c r="L5" s="960" t="s">
        <v>136</v>
      </c>
      <c r="M5" s="941"/>
      <c r="Q5" s="946"/>
      <c r="R5" s="176" t="s">
        <v>496</v>
      </c>
    </row>
    <row r="6" spans="1:18" s="176" customFormat="1" ht="30" customHeight="1" x14ac:dyDescent="0.25">
      <c r="A6" s="1050"/>
      <c r="C6" s="529"/>
      <c r="D6" s="751" t="s">
        <v>379</v>
      </c>
      <c r="E6" s="124"/>
      <c r="F6" s="124"/>
      <c r="G6" s="127"/>
      <c r="H6" s="127"/>
      <c r="I6" s="127"/>
      <c r="J6" s="124"/>
      <c r="K6" s="128"/>
      <c r="L6" s="960" t="s">
        <v>136</v>
      </c>
      <c r="M6" s="943"/>
      <c r="Q6" s="947"/>
      <c r="R6" s="176" t="s">
        <v>497</v>
      </c>
    </row>
    <row r="7" spans="1:18" s="176" customFormat="1" ht="42.75" customHeight="1" x14ac:dyDescent="0.25">
      <c r="A7" s="1050"/>
      <c r="B7" s="144" t="s">
        <v>102</v>
      </c>
      <c r="C7" s="144" t="s">
        <v>103</v>
      </c>
      <c r="D7" s="561" t="s">
        <v>380</v>
      </c>
      <c r="E7" s="124"/>
      <c r="F7" s="124"/>
      <c r="G7" s="127"/>
      <c r="H7" s="127"/>
      <c r="I7" s="127"/>
      <c r="J7" s="124"/>
      <c r="K7" s="128"/>
      <c r="L7" s="960" t="s">
        <v>136</v>
      </c>
      <c r="M7" s="943"/>
      <c r="Q7" s="948"/>
      <c r="R7" s="176" t="s">
        <v>498</v>
      </c>
    </row>
    <row r="8" spans="1:18" s="176" customFormat="1" ht="29.25" customHeight="1" x14ac:dyDescent="0.25">
      <c r="A8" s="150" t="s">
        <v>213</v>
      </c>
      <c r="B8" s="91" t="s">
        <v>83</v>
      </c>
      <c r="C8" s="111" t="s">
        <v>105</v>
      </c>
      <c r="D8" s="111" t="s">
        <v>106</v>
      </c>
      <c r="E8" s="124"/>
      <c r="F8" s="591">
        <v>4.9840000000000002E-2</v>
      </c>
      <c r="G8" s="151">
        <f>F8*(153939*1.025)</f>
        <v>7864.1277539999992</v>
      </c>
      <c r="H8" s="152">
        <v>463</v>
      </c>
      <c r="I8" s="115">
        <f>G8+H8</f>
        <v>8327.1277539999992</v>
      </c>
      <c r="J8" s="153">
        <v>100</v>
      </c>
      <c r="K8" s="154">
        <f>($I$8*$J$8)/100</f>
        <v>8327.1277539999992</v>
      </c>
      <c r="L8" s="960" t="s">
        <v>136</v>
      </c>
      <c r="M8" s="1017" t="s">
        <v>636</v>
      </c>
    </row>
    <row r="9" spans="1:18" ht="43.5" customHeight="1" thickBot="1" x14ac:dyDescent="0.3">
      <c r="A9" s="10"/>
      <c r="B9" s="91" t="s">
        <v>165</v>
      </c>
      <c r="C9" s="111" t="s">
        <v>107</v>
      </c>
      <c r="D9" s="111" t="s">
        <v>192</v>
      </c>
      <c r="E9" s="124"/>
      <c r="F9" s="124"/>
      <c r="G9" s="127"/>
      <c r="H9" s="127"/>
      <c r="I9" s="127"/>
      <c r="J9" s="124"/>
      <c r="K9" s="128"/>
      <c r="L9" s="960" t="s">
        <v>136</v>
      </c>
      <c r="M9" s="988" t="s">
        <v>637</v>
      </c>
    </row>
    <row r="10" spans="1:18" ht="18" customHeight="1" x14ac:dyDescent="0.25">
      <c r="A10" s="207" t="s">
        <v>198</v>
      </c>
      <c r="B10" s="208"/>
      <c r="C10" s="208"/>
      <c r="D10" s="208"/>
      <c r="E10" s="208"/>
      <c r="F10" s="208"/>
      <c r="G10" s="208"/>
      <c r="H10" s="208"/>
      <c r="I10" s="208"/>
      <c r="J10" s="208"/>
      <c r="K10" s="211"/>
      <c r="L10" s="691"/>
      <c r="M10" s="692"/>
    </row>
    <row r="11" spans="1:18" ht="32.25" customHeight="1" thickBot="1" x14ac:dyDescent="0.3">
      <c r="A11" s="274" t="s">
        <v>0</v>
      </c>
      <c r="B11" s="275" t="s">
        <v>1</v>
      </c>
      <c r="C11" s="276" t="s">
        <v>16</v>
      </c>
      <c r="D11" s="275" t="s">
        <v>58</v>
      </c>
      <c r="E11" s="275" t="s">
        <v>18</v>
      </c>
      <c r="F11" s="275" t="s">
        <v>30</v>
      </c>
      <c r="G11" s="275" t="s">
        <v>2</v>
      </c>
      <c r="H11" s="276" t="s">
        <v>3</v>
      </c>
      <c r="I11" s="275" t="s">
        <v>4</v>
      </c>
      <c r="J11" s="647" t="s">
        <v>5</v>
      </c>
      <c r="K11" s="277" t="s">
        <v>31</v>
      </c>
      <c r="L11" s="275" t="s">
        <v>18</v>
      </c>
      <c r="M11" s="277" t="s">
        <v>495</v>
      </c>
    </row>
    <row r="12" spans="1:18" ht="78" customHeight="1" thickBot="1" x14ac:dyDescent="0.3">
      <c r="A12" s="10" t="s">
        <v>204</v>
      </c>
      <c r="B12" s="180" t="s">
        <v>649</v>
      </c>
      <c r="C12" s="3" t="s">
        <v>63</v>
      </c>
      <c r="D12" s="172" t="s">
        <v>284</v>
      </c>
      <c r="E12" s="113"/>
      <c r="F12" s="812">
        <v>1.8020000000000001E-2</v>
      </c>
      <c r="G12" s="398">
        <f>F12*(176702*1.025)</f>
        <v>3263.7742910000002</v>
      </c>
      <c r="H12" s="761"/>
      <c r="I12" s="398">
        <f>G12</f>
        <v>3263.7742910000002</v>
      </c>
      <c r="J12" s="762">
        <v>1</v>
      </c>
      <c r="K12" s="399">
        <f>I12*J12</f>
        <v>3263.7742910000002</v>
      </c>
      <c r="L12" s="960" t="s">
        <v>136</v>
      </c>
      <c r="M12" s="938"/>
      <c r="O12" s="176"/>
    </row>
    <row r="13" spans="1:18" s="176" customFormat="1" ht="19.5" hidden="1" customHeight="1" x14ac:dyDescent="0.3">
      <c r="A13" s="624" t="s">
        <v>209</v>
      </c>
      <c r="B13" s="180" t="s">
        <v>7</v>
      </c>
      <c r="C13" s="625"/>
      <c r="D13" s="625"/>
      <c r="E13" s="625"/>
      <c r="F13" s="625"/>
      <c r="G13" s="625"/>
      <c r="H13" s="625"/>
      <c r="I13" s="625"/>
      <c r="J13" s="625"/>
      <c r="K13" s="626"/>
      <c r="L13" s="625"/>
      <c r="M13" s="626"/>
    </row>
    <row r="14" spans="1:18" s="176" customFormat="1" ht="33" hidden="1" customHeight="1" thickBot="1" x14ac:dyDescent="0.3">
      <c r="A14" s="627" t="s">
        <v>0</v>
      </c>
      <c r="B14" s="628" t="s">
        <v>1</v>
      </c>
      <c r="C14" s="630" t="s">
        <v>14</v>
      </c>
      <c r="D14" s="628" t="s">
        <v>54</v>
      </c>
      <c r="E14" s="628" t="s">
        <v>18</v>
      </c>
      <c r="F14" s="628" t="s">
        <v>30</v>
      </c>
      <c r="G14" s="628" t="s">
        <v>2</v>
      </c>
      <c r="H14" s="628" t="s">
        <v>3</v>
      </c>
      <c r="I14" s="628" t="s">
        <v>4</v>
      </c>
      <c r="J14" s="631" t="s">
        <v>55</v>
      </c>
      <c r="K14" s="629" t="s">
        <v>15</v>
      </c>
      <c r="L14" s="628" t="s">
        <v>18</v>
      </c>
      <c r="M14" s="629" t="s">
        <v>495</v>
      </c>
    </row>
    <row r="15" spans="1:18" s="176" customFormat="1" ht="107.25" hidden="1" customHeight="1" thickBot="1" x14ac:dyDescent="0.3">
      <c r="A15" s="118" t="s">
        <v>214</v>
      </c>
      <c r="B15" s="119" t="s">
        <v>131</v>
      </c>
      <c r="C15" s="119" t="s">
        <v>110</v>
      </c>
      <c r="D15" s="175" t="s">
        <v>133</v>
      </c>
      <c r="E15" s="172" t="s">
        <v>111</v>
      </c>
      <c r="F15" s="90">
        <v>0</v>
      </c>
      <c r="G15" s="64">
        <v>0</v>
      </c>
      <c r="H15" s="64">
        <v>0</v>
      </c>
      <c r="I15" s="85">
        <f>G15+H15</f>
        <v>0</v>
      </c>
      <c r="J15" s="59">
        <v>100</v>
      </c>
      <c r="K15" s="967">
        <f>I15*J15/100</f>
        <v>0</v>
      </c>
      <c r="L15" s="968"/>
      <c r="M15" s="989"/>
    </row>
    <row r="16" spans="1:18" ht="20.25" customHeight="1" thickBot="1" x14ac:dyDescent="0.3">
      <c r="A16" s="36" t="s">
        <v>199</v>
      </c>
      <c r="B16" s="23"/>
      <c r="C16" s="24"/>
      <c r="D16" s="25"/>
      <c r="E16" s="26"/>
      <c r="F16" s="26"/>
      <c r="G16" s="27"/>
      <c r="H16" s="27"/>
      <c r="I16" s="27"/>
      <c r="J16" s="27"/>
      <c r="K16" s="28"/>
      <c r="L16" s="25"/>
      <c r="M16" s="944"/>
    </row>
    <row r="17" spans="1:13" ht="17.25" customHeight="1" x14ac:dyDescent="0.25">
      <c r="A17" s="193" t="s">
        <v>206</v>
      </c>
      <c r="B17" s="194"/>
      <c r="C17" s="194"/>
      <c r="D17" s="194"/>
      <c r="E17" s="194"/>
      <c r="F17" s="194"/>
      <c r="G17" s="194"/>
      <c r="H17" s="194"/>
      <c r="I17" s="194"/>
      <c r="J17" s="194"/>
      <c r="K17" s="195"/>
      <c r="L17" s="194"/>
      <c r="M17" s="195"/>
    </row>
    <row r="18" spans="1:13" ht="33" customHeight="1" thickBot="1" x14ac:dyDescent="0.3">
      <c r="A18" s="279" t="s">
        <v>0</v>
      </c>
      <c r="B18" s="267" t="s">
        <v>1</v>
      </c>
      <c r="C18" s="280" t="s">
        <v>14</v>
      </c>
      <c r="D18" s="267" t="s">
        <v>58</v>
      </c>
      <c r="E18" s="268" t="s">
        <v>18</v>
      </c>
      <c r="F18" s="268" t="s">
        <v>30</v>
      </c>
      <c r="G18" s="268" t="s">
        <v>2</v>
      </c>
      <c r="H18" s="280" t="s">
        <v>3</v>
      </c>
      <c r="I18" s="267" t="s">
        <v>4</v>
      </c>
      <c r="J18" s="280" t="s">
        <v>5</v>
      </c>
      <c r="K18" s="281" t="s">
        <v>31</v>
      </c>
      <c r="L18" s="267" t="s">
        <v>18</v>
      </c>
      <c r="M18" s="281" t="s">
        <v>495</v>
      </c>
    </row>
    <row r="19" spans="1:13" ht="41.25" customHeight="1" x14ac:dyDescent="0.25">
      <c r="A19" s="492" t="s">
        <v>267</v>
      </c>
      <c r="B19" s="503" t="s">
        <v>117</v>
      </c>
      <c r="C19" s="394" t="s">
        <v>116</v>
      </c>
      <c r="D19" s="504" t="s">
        <v>116</v>
      </c>
      <c r="E19" s="95"/>
      <c r="F19" s="591">
        <v>3.2919999999999998E-2</v>
      </c>
      <c r="G19" s="151">
        <f>F19*(128495*1.025)</f>
        <v>4335.8067849999998</v>
      </c>
      <c r="H19" s="152">
        <v>29</v>
      </c>
      <c r="I19" s="115">
        <f>G19+H19</f>
        <v>4364.8067849999998</v>
      </c>
      <c r="J19" s="153">
        <v>100</v>
      </c>
      <c r="K19" s="154">
        <f>I19*J19/100</f>
        <v>4364.8067849999998</v>
      </c>
      <c r="L19" s="960" t="s">
        <v>136</v>
      </c>
      <c r="M19" s="943" t="s">
        <v>518</v>
      </c>
    </row>
    <row r="20" spans="1:13" s="176" customFormat="1" ht="42.75" customHeight="1" thickBot="1" x14ac:dyDescent="0.3">
      <c r="A20" s="539"/>
      <c r="B20" s="533" t="s">
        <v>130</v>
      </c>
      <c r="C20" s="112" t="s">
        <v>128</v>
      </c>
      <c r="D20" s="540" t="s">
        <v>129</v>
      </c>
      <c r="E20" s="537"/>
      <c r="F20" s="541"/>
      <c r="G20" s="542"/>
      <c r="H20" s="133"/>
      <c r="I20" s="133"/>
      <c r="J20" s="134"/>
      <c r="K20" s="534"/>
      <c r="L20" s="960" t="s">
        <v>136</v>
      </c>
      <c r="M20" s="943"/>
    </row>
    <row r="21" spans="1:13" s="176" customFormat="1" ht="17.25" customHeight="1" x14ac:dyDescent="0.25">
      <c r="A21" s="205" t="s">
        <v>201</v>
      </c>
      <c r="B21" s="648"/>
      <c r="C21" s="648"/>
      <c r="D21" s="648"/>
      <c r="E21" s="648"/>
      <c r="F21" s="648"/>
      <c r="G21" s="648"/>
      <c r="H21" s="648"/>
      <c r="I21" s="648"/>
      <c r="J21" s="648"/>
      <c r="K21" s="649"/>
      <c r="L21" s="206"/>
      <c r="M21" s="210"/>
    </row>
    <row r="22" spans="1:13" ht="30" customHeight="1" thickBot="1" x14ac:dyDescent="0.3">
      <c r="A22" s="271" t="s">
        <v>0</v>
      </c>
      <c r="B22" s="266" t="s">
        <v>1</v>
      </c>
      <c r="C22" s="272" t="s">
        <v>14</v>
      </c>
      <c r="D22" s="266" t="s">
        <v>58</v>
      </c>
      <c r="E22" s="266" t="s">
        <v>18</v>
      </c>
      <c r="F22" s="266" t="s">
        <v>30</v>
      </c>
      <c r="G22" s="266" t="s">
        <v>2</v>
      </c>
      <c r="H22" s="272" t="s">
        <v>3</v>
      </c>
      <c r="I22" s="266" t="s">
        <v>4</v>
      </c>
      <c r="J22" s="272" t="s">
        <v>5</v>
      </c>
      <c r="K22" s="273" t="s">
        <v>31</v>
      </c>
      <c r="L22" s="266" t="s">
        <v>18</v>
      </c>
      <c r="M22" s="273" t="s">
        <v>495</v>
      </c>
    </row>
    <row r="23" spans="1:13" ht="29.25" customHeight="1" x14ac:dyDescent="0.25">
      <c r="A23" s="1049" t="s">
        <v>203</v>
      </c>
      <c r="B23" s="1053" t="s">
        <v>10</v>
      </c>
      <c r="C23" s="462" t="s">
        <v>19</v>
      </c>
      <c r="D23" s="103" t="s">
        <v>245</v>
      </c>
      <c r="E23" s="135"/>
      <c r="F23" s="86">
        <v>0</v>
      </c>
      <c r="G23" s="61">
        <v>0</v>
      </c>
      <c r="H23" s="87">
        <f>9*21.42</f>
        <v>192.78000000000003</v>
      </c>
      <c r="I23" s="87">
        <f>H23</f>
        <v>192.78000000000003</v>
      </c>
      <c r="J23" s="87">
        <v>100</v>
      </c>
      <c r="K23" s="88">
        <f>I23*J23/100</f>
        <v>192.78000000000003</v>
      </c>
      <c r="L23" s="960" t="s">
        <v>136</v>
      </c>
      <c r="M23" s="1039" t="s">
        <v>548</v>
      </c>
    </row>
    <row r="24" spans="1:13" ht="28.5" customHeight="1" thickBot="1" x14ac:dyDescent="0.3">
      <c r="A24" s="1052"/>
      <c r="B24" s="1054"/>
      <c r="C24" s="463" t="s">
        <v>11</v>
      </c>
      <c r="D24" s="196" t="s">
        <v>246</v>
      </c>
      <c r="E24" s="105"/>
      <c r="F24" s="105"/>
      <c r="G24" s="106"/>
      <c r="H24" s="106"/>
      <c r="I24" s="106"/>
      <c r="J24" s="106"/>
      <c r="K24" s="106"/>
      <c r="L24" s="961" t="s">
        <v>136</v>
      </c>
      <c r="M24" s="1040"/>
    </row>
    <row r="25" spans="1:13" ht="9" customHeight="1" thickBot="1" x14ac:dyDescent="0.3">
      <c r="B25" s="22"/>
      <c r="G25" s="890" t="s">
        <v>432</v>
      </c>
    </row>
    <row r="26" spans="1:13" ht="15.75" thickBot="1" x14ac:dyDescent="0.3">
      <c r="B26" s="1045" t="s">
        <v>12</v>
      </c>
      <c r="C26" s="32" t="s">
        <v>13</v>
      </c>
      <c r="D26" s="464">
        <v>0</v>
      </c>
      <c r="G26" s="878">
        <v>0</v>
      </c>
      <c r="I26" s="458" t="s">
        <v>441</v>
      </c>
    </row>
    <row r="27" spans="1:13" ht="15.75" thickBot="1" x14ac:dyDescent="0.3">
      <c r="B27" s="1046"/>
      <c r="C27" s="21" t="s">
        <v>20</v>
      </c>
      <c r="D27" s="465">
        <v>3263.7742910000002</v>
      </c>
      <c r="G27" s="872">
        <v>3198</v>
      </c>
    </row>
    <row r="28" spans="1:13" ht="15.75" thickBot="1" x14ac:dyDescent="0.3">
      <c r="B28" s="1046"/>
      <c r="C28" s="21" t="s">
        <v>24</v>
      </c>
      <c r="D28" s="464">
        <v>9112.909379499999</v>
      </c>
      <c r="G28" s="846">
        <v>8930</v>
      </c>
    </row>
    <row r="29" spans="1:13" ht="15.75" thickBot="1" x14ac:dyDescent="0.3">
      <c r="B29" s="1046"/>
      <c r="C29" s="1146" t="s">
        <v>21</v>
      </c>
      <c r="D29" s="1148">
        <v>4557.5867849999995</v>
      </c>
      <c r="G29" s="872">
        <v>4465.92</v>
      </c>
    </row>
    <row r="30" spans="1:13" hidden="1" x14ac:dyDescent="0.25">
      <c r="B30" s="1047"/>
      <c r="C30" s="45" t="s">
        <v>25</v>
      </c>
      <c r="D30" s="467">
        <v>4364.8067849999998</v>
      </c>
      <c r="G30" s="846">
        <v>4269</v>
      </c>
    </row>
    <row r="31" spans="1:13" ht="15.75" hidden="1" thickBot="1" x14ac:dyDescent="0.3">
      <c r="B31" s="1047"/>
      <c r="C31" s="46" t="s">
        <v>26</v>
      </c>
      <c r="D31" s="468">
        <v>192.78000000000003</v>
      </c>
      <c r="G31" s="846">
        <v>196.92</v>
      </c>
    </row>
    <row r="32" spans="1:13" ht="15.75" thickBot="1" x14ac:dyDescent="0.3">
      <c r="B32" s="1048"/>
      <c r="C32" s="43" t="s">
        <v>23</v>
      </c>
      <c r="D32" s="469">
        <v>16934.270455499998</v>
      </c>
      <c r="E32" s="136"/>
      <c r="F32" s="136"/>
      <c r="G32" s="874">
        <v>16593.919999999998</v>
      </c>
    </row>
    <row r="33" spans="1:7" x14ac:dyDescent="0.25">
      <c r="A33" s="176" t="s">
        <v>374</v>
      </c>
      <c r="B33" s="33"/>
      <c r="C33" s="137"/>
      <c r="E33" s="54" t="s">
        <v>74</v>
      </c>
      <c r="F33" s="54"/>
      <c r="G33" s="107">
        <v>24.19</v>
      </c>
    </row>
    <row r="34" spans="1:7" x14ac:dyDescent="0.25">
      <c r="A34" s="176" t="s">
        <v>392</v>
      </c>
      <c r="B34" s="33"/>
      <c r="C34" s="33"/>
      <c r="D34" s="33"/>
    </row>
    <row r="35" spans="1:7" x14ac:dyDescent="0.25">
      <c r="C35" s="33"/>
      <c r="D35" s="33"/>
      <c r="E35" s="47">
        <v>23</v>
      </c>
      <c r="F35" s="47"/>
    </row>
    <row r="36" spans="1:7" x14ac:dyDescent="0.25">
      <c r="E36" s="47">
        <v>460</v>
      </c>
      <c r="F36" s="47"/>
    </row>
    <row r="37" spans="1:7" x14ac:dyDescent="0.25">
      <c r="E37" s="47">
        <v>23</v>
      </c>
      <c r="F37" s="47"/>
    </row>
  </sheetData>
  <mergeCells count="5">
    <mergeCell ref="B23:B24"/>
    <mergeCell ref="B26:B32"/>
    <mergeCell ref="A5:A7"/>
    <mergeCell ref="A23:A24"/>
    <mergeCell ref="M23:M24"/>
  </mergeCells>
  <conditionalFormatting sqref="L5:L9">
    <cfRule type="cellIs" dxfId="95" priority="13" operator="equal">
      <formula>$P$7</formula>
    </cfRule>
    <cfRule type="cellIs" dxfId="94" priority="14" operator="equal">
      <formula>$P$6</formula>
    </cfRule>
    <cfRule type="cellIs" dxfId="93" priority="15" operator="equal">
      <formula>$P$5</formula>
    </cfRule>
    <cfRule type="cellIs" dxfId="92" priority="16" operator="notEqual">
      <formula>$P$4</formula>
    </cfRule>
  </conditionalFormatting>
  <conditionalFormatting sqref="L12">
    <cfRule type="cellIs" dxfId="91" priority="9" operator="equal">
      <formula>$P$7</formula>
    </cfRule>
    <cfRule type="cellIs" dxfId="90" priority="10" operator="equal">
      <formula>$P$6</formula>
    </cfRule>
    <cfRule type="cellIs" dxfId="89" priority="11" operator="equal">
      <formula>$P$5</formula>
    </cfRule>
    <cfRule type="cellIs" dxfId="88" priority="12" operator="notEqual">
      <formula>$P$4</formula>
    </cfRule>
  </conditionalFormatting>
  <conditionalFormatting sqref="L19:L20">
    <cfRule type="cellIs" dxfId="87" priority="5" operator="equal">
      <formula>$P$7</formula>
    </cfRule>
    <cfRule type="cellIs" dxfId="86" priority="6" operator="equal">
      <formula>$P$6</formula>
    </cfRule>
    <cfRule type="cellIs" dxfId="85" priority="7" operator="equal">
      <formula>$P$5</formula>
    </cfRule>
    <cfRule type="cellIs" dxfId="84" priority="8" operator="notEqual">
      <formula>$P$4</formula>
    </cfRule>
  </conditionalFormatting>
  <conditionalFormatting sqref="L23:L24">
    <cfRule type="cellIs" dxfId="83" priority="1" operator="equal">
      <formula>$P$7</formula>
    </cfRule>
    <cfRule type="cellIs" dxfId="82" priority="2" operator="equal">
      <formula>$P$6</formula>
    </cfRule>
    <cfRule type="cellIs" dxfId="81" priority="3" operator="equal">
      <formula>$P$5</formula>
    </cfRule>
    <cfRule type="cellIs" dxfId="80" priority="4" operator="notEqual">
      <formula>$P$4</formula>
    </cfRule>
  </conditionalFormatting>
  <dataValidations count="1">
    <dataValidation type="list" allowBlank="1" showInputMessage="1" showErrorMessage="1" sqref="L5:L9 L12 L19:L20 L23:L24" xr:uid="{251AAB40-D243-43A5-A4E6-FB1992789A1E}">
      <formula1>$P$4:$P$7</formula1>
    </dataValidation>
  </dataValidations>
  <pageMargins left="0.7" right="0.7" top="0.75" bottom="0.75" header="0.3" footer="0.3"/>
  <pageSetup paperSize="8"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sheetPr>
  <dimension ref="A1:R33"/>
  <sheetViews>
    <sheetView zoomScaleNormal="100" workbookViewId="0">
      <selection activeCell="B12" sqref="B12"/>
    </sheetView>
  </sheetViews>
  <sheetFormatPr defaultRowHeight="15" x14ac:dyDescent="0.25"/>
  <cols>
    <col min="1" max="1" width="18.42578125" customWidth="1"/>
    <col min="2" max="2" width="46.42578125" customWidth="1"/>
    <col min="3" max="3" width="40.140625" customWidth="1"/>
    <col min="4" max="4" width="45.5703125" customWidth="1"/>
    <col min="5" max="5" width="8.140625" hidden="1" customWidth="1"/>
    <col min="6" max="6" width="6.85546875" hidden="1" customWidth="1"/>
    <col min="7" max="7" width="7.85546875" hidden="1" customWidth="1"/>
    <col min="8" max="8" width="10" hidden="1" customWidth="1"/>
    <col min="9" max="9" width="8" hidden="1" customWidth="1"/>
    <col min="10" max="10" width="6.7109375" hidden="1" customWidth="1"/>
    <col min="11" max="11" width="8.28515625" hidden="1" customWidth="1"/>
    <col min="13" max="13" width="28.28515625" customWidth="1"/>
    <col min="17" max="18" width="0" hidden="1" customWidth="1"/>
  </cols>
  <sheetData>
    <row r="1" spans="1:18" ht="18" x14ac:dyDescent="0.25">
      <c r="A1" s="735" t="s">
        <v>570</v>
      </c>
      <c r="J1" s="4"/>
      <c r="K1" s="573" t="s">
        <v>331</v>
      </c>
      <c r="M1" s="1014">
        <v>43586</v>
      </c>
    </row>
    <row r="2" spans="1:18" ht="6" customHeight="1" thickBot="1" x14ac:dyDescent="0.3"/>
    <row r="3" spans="1:18" s="176" customFormat="1" ht="15.75" x14ac:dyDescent="0.25">
      <c r="A3" s="293" t="s">
        <v>197</v>
      </c>
      <c r="B3" s="294"/>
      <c r="C3" s="294"/>
      <c r="D3" s="294"/>
      <c r="E3" s="294"/>
      <c r="F3" s="294"/>
      <c r="G3" s="294"/>
      <c r="H3" s="294"/>
      <c r="I3" s="294"/>
      <c r="J3" s="294"/>
      <c r="K3" s="296"/>
      <c r="L3" s="294"/>
      <c r="M3" s="296"/>
    </row>
    <row r="4" spans="1:18" s="176" customFormat="1" ht="36"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Q4" s="945"/>
      <c r="R4" s="176" t="s">
        <v>136</v>
      </c>
    </row>
    <row r="5" spans="1:18" ht="33" customHeight="1" x14ac:dyDescent="0.25">
      <c r="A5" s="1049" t="s">
        <v>205</v>
      </c>
      <c r="B5" s="144" t="s">
        <v>412</v>
      </c>
      <c r="C5" s="147" t="s">
        <v>42</v>
      </c>
      <c r="D5" s="415" t="s">
        <v>46</v>
      </c>
      <c r="E5" s="72"/>
      <c r="F5" s="767">
        <v>4.6100000000000002E-2</v>
      </c>
      <c r="G5" s="488">
        <f>F5*(153939*1.025)</f>
        <v>7274.002597499999</v>
      </c>
      <c r="H5" s="487">
        <v>4699</v>
      </c>
      <c r="I5" s="489">
        <f>G5+H5</f>
        <v>11973.002597499999</v>
      </c>
      <c r="J5" s="490">
        <v>0.5</v>
      </c>
      <c r="K5" s="491">
        <f>I5*J5</f>
        <v>5986.5012987499995</v>
      </c>
      <c r="L5" s="960" t="s">
        <v>136</v>
      </c>
      <c r="M5" s="941" t="s">
        <v>638</v>
      </c>
      <c r="Q5" s="946"/>
      <c r="R5" s="176" t="s">
        <v>496</v>
      </c>
    </row>
    <row r="6" spans="1:18" ht="42.75" customHeight="1" x14ac:dyDescent="0.25">
      <c r="A6" s="1050"/>
      <c r="B6" s="144" t="s">
        <v>40</v>
      </c>
      <c r="C6" s="144" t="s">
        <v>45</v>
      </c>
      <c r="D6" s="144" t="s">
        <v>366</v>
      </c>
      <c r="E6" s="8"/>
      <c r="F6" s="12"/>
      <c r="G6" s="12"/>
      <c r="H6" s="12"/>
      <c r="I6" s="12"/>
      <c r="J6" s="12"/>
      <c r="K6" s="14"/>
      <c r="L6" s="960" t="s">
        <v>136</v>
      </c>
      <c r="M6" s="1017" t="s">
        <v>622</v>
      </c>
      <c r="Q6" s="947"/>
      <c r="R6" s="176" t="s">
        <v>497</v>
      </c>
    </row>
    <row r="7" spans="1:18" ht="33" customHeight="1" x14ac:dyDescent="0.25">
      <c r="A7" s="223"/>
      <c r="B7" s="413" t="s">
        <v>41</v>
      </c>
      <c r="C7" s="413" t="s">
        <v>43</v>
      </c>
      <c r="D7" s="717" t="s">
        <v>373</v>
      </c>
      <c r="E7" s="7"/>
      <c r="F7" s="7"/>
      <c r="G7" s="12"/>
      <c r="H7" s="13"/>
      <c r="I7" s="12"/>
      <c r="J7" s="13"/>
      <c r="K7" s="14"/>
      <c r="L7" s="960" t="s">
        <v>136</v>
      </c>
      <c r="M7" s="988" t="s">
        <v>623</v>
      </c>
      <c r="Q7" s="948"/>
      <c r="R7" s="176" t="s">
        <v>498</v>
      </c>
    </row>
    <row r="8" spans="1:18" ht="33.75" customHeight="1" thickBot="1" x14ac:dyDescent="0.3">
      <c r="A8" s="223"/>
      <c r="B8" s="144" t="s">
        <v>37</v>
      </c>
      <c r="C8" s="144" t="s">
        <v>44</v>
      </c>
      <c r="D8" s="336" t="s">
        <v>47</v>
      </c>
      <c r="E8" s="7"/>
      <c r="F8" s="7"/>
      <c r="G8" s="12"/>
      <c r="H8" s="13"/>
      <c r="I8" s="12"/>
      <c r="J8" s="13"/>
      <c r="K8" s="14"/>
      <c r="L8" s="960" t="s">
        <v>136</v>
      </c>
      <c r="M8" s="988" t="s">
        <v>627</v>
      </c>
    </row>
    <row r="9" spans="1:18" ht="15.75" x14ac:dyDescent="0.25">
      <c r="A9" s="207" t="s">
        <v>198</v>
      </c>
      <c r="B9" s="208"/>
      <c r="C9" s="208"/>
      <c r="D9" s="208"/>
      <c r="E9" s="208"/>
      <c r="F9" s="208"/>
      <c r="G9" s="208"/>
      <c r="H9" s="208"/>
      <c r="I9" s="208"/>
      <c r="J9" s="208"/>
      <c r="K9" s="211"/>
      <c r="L9" s="691"/>
      <c r="M9" s="692"/>
    </row>
    <row r="10" spans="1:18" ht="31.5"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8" ht="40.5" customHeight="1" x14ac:dyDescent="0.25">
      <c r="A11" s="1050" t="s">
        <v>204</v>
      </c>
      <c r="B11" s="3" t="s">
        <v>6</v>
      </c>
      <c r="C11" s="1051" t="s">
        <v>27</v>
      </c>
      <c r="D11" s="570" t="s">
        <v>255</v>
      </c>
      <c r="E11" s="7"/>
      <c r="F11" s="765">
        <v>2.7150000000000001E-2</v>
      </c>
      <c r="G11" s="597">
        <f>F11*(176702*1.025)</f>
        <v>4917.3957824999998</v>
      </c>
      <c r="H11" s="607" t="s">
        <v>22</v>
      </c>
      <c r="I11" s="598">
        <f>G11</f>
        <v>4917.3957824999998</v>
      </c>
      <c r="J11" s="602">
        <v>1</v>
      </c>
      <c r="K11" s="966">
        <f>+I11*J11</f>
        <v>4917.3957824999998</v>
      </c>
      <c r="L11" s="1066" t="s">
        <v>136</v>
      </c>
      <c r="M11" s="938"/>
    </row>
    <row r="12" spans="1:18" ht="44.25" customHeight="1" thickBot="1" x14ac:dyDescent="0.3">
      <c r="A12" s="1071"/>
      <c r="B12" s="3" t="s">
        <v>7</v>
      </c>
      <c r="C12" s="1051"/>
      <c r="D12" s="68"/>
      <c r="E12" s="75"/>
      <c r="F12" s="35"/>
      <c r="G12" s="34"/>
      <c r="H12" s="12"/>
      <c r="I12" s="12"/>
      <c r="J12" s="13"/>
      <c r="K12" s="34"/>
      <c r="L12" s="1067"/>
      <c r="M12" s="938"/>
    </row>
    <row r="13" spans="1:18" s="176" customFormat="1" ht="18" hidden="1" customHeight="1" x14ac:dyDescent="0.25">
      <c r="A13" s="624" t="s">
        <v>209</v>
      </c>
      <c r="B13" s="625"/>
      <c r="C13" s="625"/>
      <c r="D13" s="625"/>
      <c r="E13" s="625"/>
      <c r="F13" s="625"/>
      <c r="G13" s="625"/>
      <c r="H13" s="625"/>
      <c r="I13" s="625"/>
      <c r="J13" s="625"/>
      <c r="K13" s="626"/>
      <c r="L13" s="625"/>
      <c r="M13" s="626"/>
    </row>
    <row r="14" spans="1:18" s="176" customFormat="1" ht="31.5" hidden="1" customHeight="1" thickBot="1" x14ac:dyDescent="0.3">
      <c r="A14" s="627" t="s">
        <v>0</v>
      </c>
      <c r="B14" s="628" t="s">
        <v>1</v>
      </c>
      <c r="C14" s="628" t="s">
        <v>14</v>
      </c>
      <c r="D14" s="628" t="s">
        <v>32</v>
      </c>
      <c r="E14" s="628" t="s">
        <v>18</v>
      </c>
      <c r="F14" s="628" t="s">
        <v>30</v>
      </c>
      <c r="G14" s="628" t="s">
        <v>2</v>
      </c>
      <c r="H14" s="628" t="s">
        <v>3</v>
      </c>
      <c r="I14" s="628" t="s">
        <v>4</v>
      </c>
      <c r="J14" s="628" t="s">
        <v>29</v>
      </c>
      <c r="K14" s="629" t="s">
        <v>15</v>
      </c>
      <c r="L14" s="628" t="s">
        <v>18</v>
      </c>
      <c r="M14" s="629" t="s">
        <v>495</v>
      </c>
    </row>
    <row r="15" spans="1:18" s="176" customFormat="1" ht="41.25" hidden="1" customHeight="1" thickBot="1" x14ac:dyDescent="0.3">
      <c r="A15" s="1049" t="s">
        <v>210</v>
      </c>
      <c r="B15" s="940" t="s">
        <v>511</v>
      </c>
      <c r="C15" s="978" t="s">
        <v>499</v>
      </c>
      <c r="D15" s="757" t="s">
        <v>452</v>
      </c>
      <c r="E15" s="203"/>
      <c r="F15" s="981"/>
      <c r="G15" s="982"/>
      <c r="H15" s="983"/>
      <c r="I15" s="982"/>
      <c r="J15" s="984"/>
      <c r="K15" s="985"/>
      <c r="M15" s="1118"/>
    </row>
    <row r="16" spans="1:18" s="176" customFormat="1" ht="39" hidden="1" customHeight="1" thickBot="1" x14ac:dyDescent="0.3">
      <c r="A16" s="1052"/>
      <c r="B16" s="979" t="s">
        <v>36</v>
      </c>
      <c r="C16" s="979" t="s">
        <v>38</v>
      </c>
      <c r="D16" s="980" t="s">
        <v>514</v>
      </c>
      <c r="E16" s="203"/>
      <c r="F16" s="981"/>
      <c r="G16" s="982"/>
      <c r="H16" s="983"/>
      <c r="I16" s="982"/>
      <c r="J16" s="984"/>
      <c r="K16" s="985"/>
      <c r="M16" s="1119"/>
    </row>
    <row r="17" spans="1:13" ht="19.5" customHeight="1" thickBot="1" x14ac:dyDescent="0.3">
      <c r="A17" s="36" t="s">
        <v>199</v>
      </c>
      <c r="B17" s="23"/>
      <c r="C17" s="24"/>
      <c r="D17" s="25"/>
      <c r="E17" s="26"/>
      <c r="F17" s="26"/>
      <c r="G17" s="27"/>
      <c r="H17" s="27"/>
      <c r="I17" s="27"/>
      <c r="J17" s="27"/>
      <c r="K17" s="28"/>
      <c r="L17" s="25"/>
      <c r="M17" s="944"/>
    </row>
    <row r="18" spans="1:13" ht="15.75" x14ac:dyDescent="0.25">
      <c r="A18" s="193" t="s">
        <v>200</v>
      </c>
      <c r="B18" s="194"/>
      <c r="C18" s="194"/>
      <c r="D18" s="194"/>
      <c r="E18" s="194"/>
      <c r="F18" s="194"/>
      <c r="G18" s="194"/>
      <c r="H18" s="194"/>
      <c r="I18" s="194"/>
      <c r="J18" s="194"/>
      <c r="K18" s="195"/>
      <c r="L18" s="194"/>
      <c r="M18" s="195"/>
    </row>
    <row r="19" spans="1:13" ht="28.5" customHeight="1" thickBot="1" x14ac:dyDescent="0.3">
      <c r="A19" s="279" t="s">
        <v>0</v>
      </c>
      <c r="B19" s="267" t="s">
        <v>1</v>
      </c>
      <c r="C19" s="280" t="s">
        <v>14</v>
      </c>
      <c r="D19" s="267" t="s">
        <v>17</v>
      </c>
      <c r="E19" s="268" t="s">
        <v>18</v>
      </c>
      <c r="F19" s="268" t="s">
        <v>30</v>
      </c>
      <c r="G19" s="268" t="s">
        <v>2</v>
      </c>
      <c r="H19" s="280" t="s">
        <v>3</v>
      </c>
      <c r="I19" s="267" t="s">
        <v>4</v>
      </c>
      <c r="J19" s="280" t="s">
        <v>5</v>
      </c>
      <c r="K19" s="281" t="s">
        <v>31</v>
      </c>
      <c r="L19" s="267" t="s">
        <v>18</v>
      </c>
      <c r="M19" s="281" t="s">
        <v>495</v>
      </c>
    </row>
    <row r="20" spans="1:13" ht="28.5" customHeight="1" x14ac:dyDescent="0.25">
      <c r="A20" s="1049" t="s">
        <v>202</v>
      </c>
      <c r="B20" s="1053" t="s">
        <v>8</v>
      </c>
      <c r="C20" s="66" t="s">
        <v>9</v>
      </c>
      <c r="D20" s="53" t="s">
        <v>34</v>
      </c>
      <c r="E20" s="60"/>
      <c r="F20" s="604">
        <v>5.5645E-2</v>
      </c>
      <c r="G20" s="472">
        <f>F20*(128495*1.025)</f>
        <v>7328.856881875</v>
      </c>
      <c r="H20" s="473">
        <v>882</v>
      </c>
      <c r="I20" s="474">
        <f>G20+H20</f>
        <v>8210.8568818749991</v>
      </c>
      <c r="J20" s="475">
        <v>1</v>
      </c>
      <c r="K20" s="476">
        <f>+I20*J20</f>
        <v>8210.8568818749991</v>
      </c>
      <c r="L20" s="960" t="s">
        <v>136</v>
      </c>
      <c r="M20" s="1012" t="s">
        <v>545</v>
      </c>
    </row>
    <row r="21" spans="1:13" ht="30.75" customHeight="1" thickBot="1" x14ac:dyDescent="0.3">
      <c r="A21" s="1050"/>
      <c r="B21" s="1051"/>
      <c r="C21" s="179" t="s">
        <v>238</v>
      </c>
      <c r="D21" s="179" t="s">
        <v>35</v>
      </c>
      <c r="E21" s="7"/>
      <c r="F21" s="7"/>
      <c r="G21" s="185"/>
      <c r="H21" s="185"/>
      <c r="I21" s="186"/>
      <c r="J21" s="185"/>
      <c r="K21" s="192"/>
      <c r="L21" s="960" t="s">
        <v>136</v>
      </c>
      <c r="M21" s="942" t="s">
        <v>534</v>
      </c>
    </row>
    <row r="22" spans="1:13" ht="15.75" x14ac:dyDescent="0.25">
      <c r="A22" s="205" t="s">
        <v>201</v>
      </c>
      <c r="B22" s="206"/>
      <c r="C22" s="206"/>
      <c r="D22" s="206"/>
      <c r="E22" s="206"/>
      <c r="F22" s="206"/>
      <c r="G22" s="206"/>
      <c r="H22" s="206"/>
      <c r="I22" s="206"/>
      <c r="J22" s="206"/>
      <c r="K22" s="210"/>
      <c r="L22" s="206"/>
      <c r="M22" s="210"/>
    </row>
    <row r="23" spans="1:13" ht="30.75" customHeight="1" thickBot="1" x14ac:dyDescent="0.3">
      <c r="A23" s="271" t="s">
        <v>0</v>
      </c>
      <c r="B23" s="266" t="s">
        <v>1</v>
      </c>
      <c r="C23" s="272" t="s">
        <v>14</v>
      </c>
      <c r="D23" s="266" t="s">
        <v>17</v>
      </c>
      <c r="E23" s="266" t="s">
        <v>18</v>
      </c>
      <c r="F23" s="266" t="s">
        <v>30</v>
      </c>
      <c r="G23" s="266" t="s">
        <v>2</v>
      </c>
      <c r="H23" s="272" t="s">
        <v>3</v>
      </c>
      <c r="I23" s="266" t="s">
        <v>4</v>
      </c>
      <c r="J23" s="272" t="s">
        <v>5</v>
      </c>
      <c r="K23" s="273" t="s">
        <v>31</v>
      </c>
      <c r="L23" s="266" t="s">
        <v>18</v>
      </c>
      <c r="M23" s="273" t="s">
        <v>495</v>
      </c>
    </row>
    <row r="24" spans="1:13" ht="32.25" customHeight="1" x14ac:dyDescent="0.25">
      <c r="A24" s="10" t="s">
        <v>203</v>
      </c>
      <c r="B24" s="1053" t="s">
        <v>10</v>
      </c>
      <c r="C24" s="462" t="s">
        <v>19</v>
      </c>
      <c r="D24" s="103" t="s">
        <v>245</v>
      </c>
      <c r="E24" s="30"/>
      <c r="F24" s="484">
        <v>0</v>
      </c>
      <c r="G24" s="76">
        <v>0</v>
      </c>
      <c r="H24" s="76">
        <f>54*21.42</f>
        <v>1156.68</v>
      </c>
      <c r="I24" s="252">
        <f>+H24</f>
        <v>1156.68</v>
      </c>
      <c r="J24" s="481">
        <v>1</v>
      </c>
      <c r="K24" s="77">
        <f>+I24*J24</f>
        <v>1156.68</v>
      </c>
      <c r="L24" s="960" t="s">
        <v>136</v>
      </c>
      <c r="M24" s="1039" t="s">
        <v>548</v>
      </c>
    </row>
    <row r="25" spans="1:13" ht="30" customHeight="1" thickBot="1" x14ac:dyDescent="0.3">
      <c r="A25" s="20"/>
      <c r="B25" s="1054"/>
      <c r="C25" s="463" t="s">
        <v>11</v>
      </c>
      <c r="D25" s="196" t="s">
        <v>246</v>
      </c>
      <c r="E25" s="11"/>
      <c r="F25" s="11"/>
      <c r="G25" s="17"/>
      <c r="H25" s="18"/>
      <c r="I25" s="52"/>
      <c r="J25" s="18"/>
      <c r="K25" s="437"/>
      <c r="L25" s="961" t="s">
        <v>136</v>
      </c>
      <c r="M25" s="1040"/>
    </row>
    <row r="26" spans="1:13" ht="7.5" customHeight="1" thickBot="1" x14ac:dyDescent="0.3">
      <c r="G26" s="579" t="s">
        <v>432</v>
      </c>
    </row>
    <row r="27" spans="1:13" ht="15.75" thickBot="1" x14ac:dyDescent="0.3">
      <c r="A27" s="2"/>
      <c r="B27" s="1045" t="s">
        <v>12</v>
      </c>
      <c r="C27" s="32" t="s">
        <v>13</v>
      </c>
      <c r="D27" s="920">
        <v>11364.002410999999</v>
      </c>
      <c r="E27" s="5"/>
      <c r="F27" s="5"/>
      <c r="G27" s="878">
        <v>11152.5</v>
      </c>
      <c r="I27" s="816" t="s">
        <v>442</v>
      </c>
    </row>
    <row r="28" spans="1:13" ht="15.75" thickBot="1" x14ac:dyDescent="0.3">
      <c r="A28" s="2"/>
      <c r="B28" s="1046"/>
      <c r="C28" s="21" t="s">
        <v>20</v>
      </c>
      <c r="D28" s="918">
        <v>4917.3957824999998</v>
      </c>
      <c r="E28" s="5"/>
      <c r="F28" s="5"/>
      <c r="G28" s="902">
        <v>4806</v>
      </c>
      <c r="H28" s="816"/>
      <c r="I28" s="816"/>
      <c r="J28" s="816"/>
      <c r="K28" s="816"/>
    </row>
    <row r="29" spans="1:13" ht="15.75" thickBot="1" x14ac:dyDescent="0.3">
      <c r="A29" s="2"/>
      <c r="B29" s="1046"/>
      <c r="C29" s="21" t="s">
        <v>24</v>
      </c>
      <c r="D29" s="920">
        <v>5986.5012987499995</v>
      </c>
      <c r="E29" s="5"/>
      <c r="F29" s="5"/>
      <c r="G29" s="846">
        <v>4273.5</v>
      </c>
    </row>
    <row r="30" spans="1:13" ht="15.75" thickBot="1" x14ac:dyDescent="0.3">
      <c r="A30" s="2"/>
      <c r="B30" s="1046"/>
      <c r="C30" s="1146" t="s">
        <v>21</v>
      </c>
      <c r="D30" s="1147">
        <v>9367.5368818749994</v>
      </c>
      <c r="E30" s="6"/>
      <c r="F30" s="6"/>
      <c r="G30" s="872">
        <v>9207.52</v>
      </c>
    </row>
    <row r="31" spans="1:13" ht="15.75" thickBot="1" x14ac:dyDescent="0.3">
      <c r="A31" s="2"/>
      <c r="B31" s="1048"/>
      <c r="C31" s="43" t="s">
        <v>23</v>
      </c>
      <c r="D31" s="919">
        <v>31635.436374124998</v>
      </c>
      <c r="E31" s="6"/>
      <c r="F31" s="6"/>
      <c r="G31" s="874">
        <v>29439.52</v>
      </c>
    </row>
    <row r="32" spans="1:13" x14ac:dyDescent="0.25">
      <c r="A32" s="176" t="s">
        <v>374</v>
      </c>
      <c r="B32" s="33"/>
      <c r="E32" s="47">
        <v>18</v>
      </c>
      <c r="F32" s="47"/>
    </row>
    <row r="33" spans="1:1" x14ac:dyDescent="0.25">
      <c r="A33" s="176" t="s">
        <v>392</v>
      </c>
    </row>
  </sheetData>
  <mergeCells count="11">
    <mergeCell ref="M24:M25"/>
    <mergeCell ref="L11:L12"/>
    <mergeCell ref="B24:B25"/>
    <mergeCell ref="B27:B31"/>
    <mergeCell ref="C11:C12"/>
    <mergeCell ref="M15:M16"/>
    <mergeCell ref="A5:A6"/>
    <mergeCell ref="A11:A12"/>
    <mergeCell ref="B20:B21"/>
    <mergeCell ref="A20:A21"/>
    <mergeCell ref="A15:A16"/>
  </mergeCells>
  <conditionalFormatting sqref="L24:L25">
    <cfRule type="cellIs" dxfId="79" priority="25" operator="equal">
      <formula>$P$7</formula>
    </cfRule>
    <cfRule type="cellIs" dxfId="78" priority="26" operator="equal">
      <formula>$P$6</formula>
    </cfRule>
    <cfRule type="cellIs" dxfId="77" priority="27" operator="equal">
      <formula>$P$5</formula>
    </cfRule>
    <cfRule type="cellIs" dxfId="76" priority="28" operator="notEqual">
      <formula>$P$4</formula>
    </cfRule>
  </conditionalFormatting>
  <conditionalFormatting sqref="L5:L8">
    <cfRule type="cellIs" dxfId="75" priority="9" operator="equal">
      <formula>$P$7</formula>
    </cfRule>
    <cfRule type="cellIs" dxfId="74" priority="10" operator="equal">
      <formula>$P$6</formula>
    </cfRule>
    <cfRule type="cellIs" dxfId="73" priority="11" operator="equal">
      <formula>$P$5</formula>
    </cfRule>
    <cfRule type="cellIs" dxfId="72" priority="12" operator="notEqual">
      <formula>$P$4</formula>
    </cfRule>
  </conditionalFormatting>
  <conditionalFormatting sqref="L20:L21">
    <cfRule type="cellIs" dxfId="71" priority="21" operator="equal">
      <formula>$P$7</formula>
    </cfRule>
    <cfRule type="cellIs" dxfId="70" priority="22" operator="equal">
      <formula>$P$6</formula>
    </cfRule>
    <cfRule type="cellIs" dxfId="69" priority="23" operator="equal">
      <formula>$P$5</formula>
    </cfRule>
    <cfRule type="cellIs" dxfId="68" priority="24" operator="notEqual">
      <formula>$P$4</formula>
    </cfRule>
  </conditionalFormatting>
  <conditionalFormatting sqref="L11">
    <cfRule type="cellIs" dxfId="67" priority="13" operator="equal">
      <formula>$P$7</formula>
    </cfRule>
    <cfRule type="cellIs" dxfId="66" priority="14" operator="equal">
      <formula>$P$6</formula>
    </cfRule>
    <cfRule type="cellIs" dxfId="65" priority="15" operator="equal">
      <formula>$P$5</formula>
    </cfRule>
    <cfRule type="cellIs" dxfId="64" priority="16" operator="notEqual">
      <formula>$P$4</formula>
    </cfRule>
  </conditionalFormatting>
  <dataValidations count="1">
    <dataValidation type="list" allowBlank="1" showInputMessage="1" showErrorMessage="1" sqref="L24:L25 L20:L21 L5:L8 L11" xr:uid="{58361015-998B-4745-B297-6F21F22CC56A}">
      <formula1>$P$4:$P$7</formula1>
    </dataValidation>
  </dataValidations>
  <pageMargins left="0.7" right="0.7" top="0.75" bottom="0.75" header="0.3" footer="0.3"/>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sheetPr>
  <dimension ref="A1:R36"/>
  <sheetViews>
    <sheetView topLeftCell="A4" zoomScaleNormal="100" workbookViewId="0">
      <selection activeCell="O28" sqref="O28"/>
    </sheetView>
  </sheetViews>
  <sheetFormatPr defaultRowHeight="15" x14ac:dyDescent="0.25"/>
  <cols>
    <col min="1" max="1" width="17.5703125" customWidth="1"/>
    <col min="2" max="2" width="45.5703125" customWidth="1"/>
    <col min="3" max="3" width="42.5703125" customWidth="1"/>
    <col min="4" max="4" width="38.85546875" customWidth="1"/>
    <col min="5" max="6" width="8.140625" hidden="1" customWidth="1"/>
    <col min="7" max="7" width="7.85546875" hidden="1" customWidth="1"/>
    <col min="8" max="8" width="10" hidden="1" customWidth="1"/>
    <col min="9" max="9" width="7.28515625" hidden="1" customWidth="1"/>
    <col min="10" max="10" width="6.5703125" hidden="1" customWidth="1"/>
    <col min="11" max="11" width="8.85546875" hidden="1" customWidth="1"/>
    <col min="12" max="12" width="0" hidden="1" customWidth="1"/>
    <col min="13" max="13" width="10.42578125" hidden="1" customWidth="1"/>
    <col min="15" max="15" width="30.140625" customWidth="1"/>
    <col min="17" max="18" width="0" hidden="1" customWidth="1"/>
  </cols>
  <sheetData>
    <row r="1" spans="1:18" ht="18" x14ac:dyDescent="0.25">
      <c r="A1" s="735" t="s">
        <v>571</v>
      </c>
      <c r="J1" s="4"/>
      <c r="K1" s="573" t="s">
        <v>331</v>
      </c>
      <c r="O1" s="1014">
        <v>43586</v>
      </c>
    </row>
    <row r="2" spans="1:18" ht="9.75" customHeight="1" thickBot="1" x14ac:dyDescent="0.3"/>
    <row r="3" spans="1:18" ht="15.75" x14ac:dyDescent="0.25">
      <c r="A3" s="293" t="s">
        <v>197</v>
      </c>
      <c r="B3" s="294"/>
      <c r="C3" s="294"/>
      <c r="D3" s="294"/>
      <c r="E3" s="294"/>
      <c r="F3" s="294"/>
      <c r="G3" s="294"/>
      <c r="H3" s="294"/>
      <c r="I3" s="294"/>
      <c r="J3" s="294"/>
      <c r="K3" s="296"/>
      <c r="M3" s="794" t="s">
        <v>450</v>
      </c>
      <c r="N3" s="294"/>
      <c r="O3" s="296"/>
      <c r="Q3" s="176"/>
      <c r="R3" s="176"/>
    </row>
    <row r="4" spans="1:18" ht="32.25" customHeight="1" thickBot="1" x14ac:dyDescent="0.3">
      <c r="A4" s="297" t="s">
        <v>0</v>
      </c>
      <c r="B4" s="298" t="s">
        <v>1</v>
      </c>
      <c r="C4" s="299" t="s">
        <v>14</v>
      </c>
      <c r="D4" s="298" t="s">
        <v>17</v>
      </c>
      <c r="E4" s="298" t="s">
        <v>18</v>
      </c>
      <c r="F4" s="298" t="s">
        <v>30</v>
      </c>
      <c r="G4" s="298" t="s">
        <v>2</v>
      </c>
      <c r="H4" s="299" t="s">
        <v>3</v>
      </c>
      <c r="I4" s="298" t="s">
        <v>4</v>
      </c>
      <c r="J4" s="299" t="s">
        <v>5</v>
      </c>
      <c r="K4" s="301" t="s">
        <v>31</v>
      </c>
      <c r="N4" s="298" t="s">
        <v>18</v>
      </c>
      <c r="O4" s="301" t="s">
        <v>495</v>
      </c>
      <c r="Q4" s="945"/>
      <c r="R4" s="176" t="s">
        <v>136</v>
      </c>
    </row>
    <row r="5" spans="1:18" s="176" customFormat="1" ht="30" customHeight="1" x14ac:dyDescent="0.25">
      <c r="A5" s="1049" t="s">
        <v>205</v>
      </c>
      <c r="B5" s="144" t="s">
        <v>412</v>
      </c>
      <c r="C5" s="147" t="s">
        <v>42</v>
      </c>
      <c r="D5" s="415" t="s">
        <v>46</v>
      </c>
      <c r="E5" s="72"/>
      <c r="F5" s="798">
        <f>0.0343*(10/42)</f>
        <v>8.1666666666666658E-3</v>
      </c>
      <c r="G5" s="488">
        <f>F5*(153939*1.025)</f>
        <v>1288.5977124999997</v>
      </c>
      <c r="H5" s="487">
        <v>748</v>
      </c>
      <c r="I5" s="489">
        <f>G5+H5</f>
        <v>2036.5977124999997</v>
      </c>
      <c r="J5" s="490">
        <v>0.14000000000000001</v>
      </c>
      <c r="K5" s="491">
        <f>I5*J5</f>
        <v>285.12367975000001</v>
      </c>
      <c r="M5" s="698" t="s">
        <v>447</v>
      </c>
      <c r="N5" s="960" t="s">
        <v>136</v>
      </c>
      <c r="O5" s="941"/>
      <c r="Q5" s="946"/>
      <c r="R5" s="176" t="s">
        <v>496</v>
      </c>
    </row>
    <row r="6" spans="1:18" s="176" customFormat="1" ht="43.5" customHeight="1" x14ac:dyDescent="0.25">
      <c r="A6" s="1050"/>
      <c r="B6" s="144" t="s">
        <v>40</v>
      </c>
      <c r="C6" s="144" t="s">
        <v>45</v>
      </c>
      <c r="D6" s="144" t="s">
        <v>366</v>
      </c>
      <c r="E6" s="72"/>
      <c r="F6" s="35"/>
      <c r="G6" s="34"/>
      <c r="H6" s="12"/>
      <c r="I6" s="12"/>
      <c r="J6" s="13"/>
      <c r="K6" s="14"/>
      <c r="N6" s="960" t="s">
        <v>136</v>
      </c>
      <c r="O6" s="1017" t="s">
        <v>622</v>
      </c>
      <c r="Q6" s="947"/>
      <c r="R6" s="176" t="s">
        <v>497</v>
      </c>
    </row>
    <row r="7" spans="1:18" ht="41.25" customHeight="1" x14ac:dyDescent="0.25">
      <c r="A7" s="223"/>
      <c r="B7" s="413" t="s">
        <v>41</v>
      </c>
      <c r="C7" s="413" t="s">
        <v>43</v>
      </c>
      <c r="D7" s="717" t="s">
        <v>373</v>
      </c>
      <c r="E7" s="72"/>
      <c r="F7" s="35"/>
      <c r="G7" s="34"/>
      <c r="H7" s="12"/>
      <c r="I7" s="12"/>
      <c r="J7" s="13"/>
      <c r="K7" s="14"/>
      <c r="N7" s="960" t="s">
        <v>136</v>
      </c>
      <c r="O7" s="988" t="s">
        <v>623</v>
      </c>
      <c r="Q7" s="948"/>
      <c r="R7" s="176" t="s">
        <v>498</v>
      </c>
    </row>
    <row r="8" spans="1:18" ht="42.75" customHeight="1" thickBot="1" x14ac:dyDescent="0.3">
      <c r="A8" s="223"/>
      <c r="B8" s="144" t="s">
        <v>37</v>
      </c>
      <c r="C8" s="144" t="s">
        <v>44</v>
      </c>
      <c r="D8" s="336" t="s">
        <v>47</v>
      </c>
      <c r="E8" s="72"/>
      <c r="F8" s="35"/>
      <c r="G8" s="34"/>
      <c r="H8" s="12"/>
      <c r="I8" s="12"/>
      <c r="J8" s="13"/>
      <c r="K8" s="14"/>
      <c r="N8" s="960" t="s">
        <v>136</v>
      </c>
      <c r="O8" s="1035" t="s">
        <v>627</v>
      </c>
    </row>
    <row r="9" spans="1:18" ht="15.75" x14ac:dyDescent="0.25">
      <c r="A9" s="207" t="s">
        <v>198</v>
      </c>
      <c r="B9" s="208"/>
      <c r="C9" s="208"/>
      <c r="D9" s="208"/>
      <c r="E9" s="208"/>
      <c r="F9" s="208"/>
      <c r="G9" s="208"/>
      <c r="H9" s="208"/>
      <c r="I9" s="208"/>
      <c r="J9" s="208"/>
      <c r="K9" s="211"/>
      <c r="N9" s="691"/>
      <c r="O9" s="692"/>
    </row>
    <row r="10" spans="1:18" ht="31.5"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N10" s="275" t="s">
        <v>18</v>
      </c>
      <c r="O10" s="277" t="s">
        <v>495</v>
      </c>
    </row>
    <row r="11" spans="1:18" ht="42" customHeight="1" x14ac:dyDescent="0.25">
      <c r="A11" s="1050" t="s">
        <v>204</v>
      </c>
      <c r="B11" s="3" t="s">
        <v>6</v>
      </c>
      <c r="C11" s="1051" t="s">
        <v>27</v>
      </c>
      <c r="D11" s="570" t="s">
        <v>256</v>
      </c>
      <c r="E11" s="7"/>
      <c r="F11" s="765">
        <f>0.1296*(10/42)</f>
        <v>3.0857142857142854E-2</v>
      </c>
      <c r="G11" s="597">
        <f>F11*(176702*1.025)</f>
        <v>5588.8318285714276</v>
      </c>
      <c r="H11" s="607" t="s">
        <v>22</v>
      </c>
      <c r="I11" s="598">
        <f>G11</f>
        <v>5588.8318285714276</v>
      </c>
      <c r="J11" s="602">
        <v>1</v>
      </c>
      <c r="K11" s="600">
        <f>(I11*J11)</f>
        <v>5588.8318285714276</v>
      </c>
      <c r="M11" s="698" t="s">
        <v>448</v>
      </c>
      <c r="N11" s="1066" t="s">
        <v>136</v>
      </c>
      <c r="O11" s="938"/>
    </row>
    <row r="12" spans="1:18" ht="43.5" customHeight="1" thickBot="1" x14ac:dyDescent="0.3">
      <c r="A12" s="1052"/>
      <c r="B12" s="3" t="s">
        <v>7</v>
      </c>
      <c r="C12" s="1051"/>
      <c r="D12" s="68"/>
      <c r="E12" s="75"/>
      <c r="F12" s="233"/>
      <c r="G12" s="34"/>
      <c r="H12" s="185"/>
      <c r="I12" s="185"/>
      <c r="J12" s="186"/>
      <c r="K12" s="187"/>
      <c r="N12" s="1067"/>
      <c r="O12" s="938"/>
    </row>
    <row r="13" spans="1:18" s="176" customFormat="1" ht="15.75" x14ac:dyDescent="0.25">
      <c r="A13" s="624" t="s">
        <v>209</v>
      </c>
      <c r="B13" s="625"/>
      <c r="C13" s="625"/>
      <c r="D13" s="625"/>
      <c r="E13" s="625"/>
      <c r="F13" s="625"/>
      <c r="G13" s="625"/>
      <c r="H13" s="625"/>
      <c r="I13" s="625"/>
      <c r="J13" s="625"/>
      <c r="K13" s="626"/>
      <c r="N13" s="625"/>
      <c r="O13" s="626"/>
    </row>
    <row r="14" spans="1:18" s="176" customFormat="1" ht="32.25" customHeight="1" thickBot="1" x14ac:dyDescent="0.3">
      <c r="A14" s="627" t="s">
        <v>0</v>
      </c>
      <c r="B14" s="628" t="s">
        <v>1</v>
      </c>
      <c r="C14" s="628" t="s">
        <v>14</v>
      </c>
      <c r="D14" s="628" t="s">
        <v>32</v>
      </c>
      <c r="E14" s="628" t="s">
        <v>18</v>
      </c>
      <c r="F14" s="628" t="s">
        <v>30</v>
      </c>
      <c r="G14" s="628" t="s">
        <v>2</v>
      </c>
      <c r="H14" s="628" t="s">
        <v>3</v>
      </c>
      <c r="I14" s="628" t="s">
        <v>4</v>
      </c>
      <c r="J14" s="628" t="s">
        <v>29</v>
      </c>
      <c r="K14" s="629" t="s">
        <v>56</v>
      </c>
      <c r="N14" s="628" t="s">
        <v>18</v>
      </c>
      <c r="O14" s="629" t="s">
        <v>495</v>
      </c>
    </row>
    <row r="15" spans="1:18" s="176" customFormat="1" ht="41.25" customHeight="1" thickBot="1" x14ac:dyDescent="0.3">
      <c r="A15" s="1049" t="s">
        <v>210</v>
      </c>
      <c r="B15" s="940" t="s">
        <v>513</v>
      </c>
      <c r="C15" s="978" t="s">
        <v>499</v>
      </c>
      <c r="D15" s="757" t="s">
        <v>452</v>
      </c>
      <c r="E15" s="203"/>
      <c r="F15" s="981"/>
      <c r="G15" s="982"/>
      <c r="H15" s="983"/>
      <c r="I15" s="982"/>
      <c r="J15" s="984"/>
      <c r="K15" s="985"/>
      <c r="L15" s="960" t="s">
        <v>136</v>
      </c>
      <c r="M15" s="938"/>
      <c r="N15" s="960" t="s">
        <v>136</v>
      </c>
      <c r="O15" s="1091" t="s">
        <v>647</v>
      </c>
    </row>
    <row r="16" spans="1:18" s="176" customFormat="1" ht="64.5" customHeight="1" thickBot="1" x14ac:dyDescent="0.3">
      <c r="A16" s="1052"/>
      <c r="B16" s="979" t="s">
        <v>36</v>
      </c>
      <c r="C16" s="979" t="s">
        <v>38</v>
      </c>
      <c r="D16" s="980" t="s">
        <v>514</v>
      </c>
      <c r="E16" s="203"/>
      <c r="F16" s="981"/>
      <c r="G16" s="982"/>
      <c r="H16" s="983"/>
      <c r="I16" s="982"/>
      <c r="J16" s="984"/>
      <c r="K16" s="985"/>
      <c r="L16" s="960" t="s">
        <v>136</v>
      </c>
      <c r="M16" s="938"/>
      <c r="N16" s="960" t="s">
        <v>136</v>
      </c>
      <c r="O16" s="1092"/>
    </row>
    <row r="17" spans="1:15" ht="18.75" customHeight="1" thickBot="1" x14ac:dyDescent="0.3">
      <c r="A17" s="36" t="s">
        <v>199</v>
      </c>
      <c r="B17" s="23"/>
      <c r="C17" s="24"/>
      <c r="D17" s="25"/>
      <c r="E17" s="26"/>
      <c r="F17" s="26"/>
      <c r="G17" s="27"/>
      <c r="H17" s="27"/>
      <c r="I17" s="27"/>
      <c r="J17" s="27"/>
      <c r="K17" s="28"/>
      <c r="N17" s="25"/>
      <c r="O17" s="944"/>
    </row>
    <row r="18" spans="1:15" ht="17.25" customHeight="1" x14ac:dyDescent="0.25">
      <c r="A18" s="193" t="s">
        <v>200</v>
      </c>
      <c r="B18" s="194"/>
      <c r="C18" s="194"/>
      <c r="D18" s="194"/>
      <c r="E18" s="194"/>
      <c r="F18" s="194"/>
      <c r="G18" s="194"/>
      <c r="H18" s="194"/>
      <c r="I18" s="194"/>
      <c r="J18" s="194"/>
      <c r="K18" s="195"/>
      <c r="N18" s="194"/>
      <c r="O18" s="195"/>
    </row>
    <row r="19" spans="1:15" ht="32.25" customHeight="1" thickBot="1" x14ac:dyDescent="0.3">
      <c r="A19" s="279" t="s">
        <v>0</v>
      </c>
      <c r="B19" s="267" t="s">
        <v>1</v>
      </c>
      <c r="C19" s="280" t="s">
        <v>14</v>
      </c>
      <c r="D19" s="267" t="s">
        <v>17</v>
      </c>
      <c r="E19" s="268" t="s">
        <v>18</v>
      </c>
      <c r="F19" s="268" t="s">
        <v>30</v>
      </c>
      <c r="G19" s="268" t="s">
        <v>2</v>
      </c>
      <c r="H19" s="280" t="s">
        <v>3</v>
      </c>
      <c r="I19" s="267" t="s">
        <v>4</v>
      </c>
      <c r="J19" s="280" t="s">
        <v>5</v>
      </c>
      <c r="K19" s="281" t="s">
        <v>31</v>
      </c>
      <c r="N19" s="267" t="s">
        <v>18</v>
      </c>
      <c r="O19" s="281" t="s">
        <v>495</v>
      </c>
    </row>
    <row r="20" spans="1:15" ht="27.75" customHeight="1" x14ac:dyDescent="0.25">
      <c r="A20" s="1049" t="s">
        <v>202</v>
      </c>
      <c r="B20" s="1053" t="s">
        <v>8</v>
      </c>
      <c r="C20" s="242" t="s">
        <v>9</v>
      </c>
      <c r="D20" s="242" t="s">
        <v>34</v>
      </c>
      <c r="E20" s="60"/>
      <c r="F20" s="604">
        <v>1.49E-2</v>
      </c>
      <c r="G20" s="472">
        <f>F20*(128495*1.025)</f>
        <v>1962.4398874999999</v>
      </c>
      <c r="H20" s="472">
        <f>2871*10/42</f>
        <v>683.57142857142856</v>
      </c>
      <c r="I20" s="474">
        <f>G20+H20</f>
        <v>2646.0113160714286</v>
      </c>
      <c r="J20" s="475">
        <v>1</v>
      </c>
      <c r="K20" s="476">
        <f>+I20*J20</f>
        <v>2646.0113160714286</v>
      </c>
      <c r="M20" s="698" t="s">
        <v>446</v>
      </c>
      <c r="N20" s="960" t="s">
        <v>136</v>
      </c>
      <c r="O20" s="1012" t="s">
        <v>546</v>
      </c>
    </row>
    <row r="21" spans="1:15" ht="29.25" customHeight="1" thickBot="1" x14ac:dyDescent="0.3">
      <c r="A21" s="1052"/>
      <c r="B21" s="1054"/>
      <c r="C21" s="400" t="s">
        <v>237</v>
      </c>
      <c r="D21" s="400" t="s">
        <v>35</v>
      </c>
      <c r="E21" s="538"/>
      <c r="F21" s="538"/>
      <c r="G21" s="189"/>
      <c r="H21" s="189"/>
      <c r="I21" s="190"/>
      <c r="J21" s="189"/>
      <c r="K21" s="546"/>
      <c r="N21" s="960" t="s">
        <v>136</v>
      </c>
      <c r="O21" s="942" t="s">
        <v>534</v>
      </c>
    </row>
    <row r="22" spans="1:15" ht="15" customHeight="1" x14ac:dyDescent="0.25">
      <c r="A22" s="205" t="s">
        <v>201</v>
      </c>
      <c r="B22" s="206"/>
      <c r="C22" s="206"/>
      <c r="D22" s="206"/>
      <c r="E22" s="206"/>
      <c r="F22" s="206"/>
      <c r="G22" s="206"/>
      <c r="H22" s="206"/>
      <c r="I22" s="206"/>
      <c r="J22" s="206"/>
      <c r="K22" s="210"/>
      <c r="N22" s="206"/>
      <c r="O22" s="210"/>
    </row>
    <row r="23" spans="1:15" ht="30" customHeight="1" thickBot="1" x14ac:dyDescent="0.3">
      <c r="A23" s="271" t="s">
        <v>0</v>
      </c>
      <c r="B23" s="266" t="s">
        <v>1</v>
      </c>
      <c r="C23" s="272" t="s">
        <v>14</v>
      </c>
      <c r="D23" s="266" t="s">
        <v>17</v>
      </c>
      <c r="E23" s="266" t="s">
        <v>18</v>
      </c>
      <c r="F23" s="266" t="s">
        <v>30</v>
      </c>
      <c r="G23" s="266" t="s">
        <v>2</v>
      </c>
      <c r="H23" s="272" t="s">
        <v>3</v>
      </c>
      <c r="I23" s="266" t="s">
        <v>4</v>
      </c>
      <c r="J23" s="272" t="s">
        <v>5</v>
      </c>
      <c r="K23" s="273" t="s">
        <v>31</v>
      </c>
      <c r="N23" s="266" t="s">
        <v>18</v>
      </c>
      <c r="O23" s="273" t="s">
        <v>495</v>
      </c>
    </row>
    <row r="24" spans="1:15" ht="29.25" customHeight="1" x14ac:dyDescent="0.25">
      <c r="A24" s="1049" t="s">
        <v>203</v>
      </c>
      <c r="B24" s="1053" t="s">
        <v>10</v>
      </c>
      <c r="C24" s="462" t="s">
        <v>19</v>
      </c>
      <c r="D24" s="103" t="s">
        <v>245</v>
      </c>
      <c r="E24" s="30"/>
      <c r="F24" s="601">
        <v>0</v>
      </c>
      <c r="G24" s="487">
        <v>0</v>
      </c>
      <c r="H24" s="594">
        <f>10*21.42</f>
        <v>214.20000000000002</v>
      </c>
      <c r="I24" s="595">
        <f>+H24</f>
        <v>214.20000000000002</v>
      </c>
      <c r="J24" s="475">
        <v>1</v>
      </c>
      <c r="K24" s="596">
        <f>I24*J24</f>
        <v>214.20000000000002</v>
      </c>
      <c r="M24" s="930" t="s">
        <v>449</v>
      </c>
      <c r="N24" s="960" t="s">
        <v>136</v>
      </c>
      <c r="O24" s="1039" t="s">
        <v>548</v>
      </c>
    </row>
    <row r="25" spans="1:15" ht="28.5" customHeight="1" thickBot="1" x14ac:dyDescent="0.3">
      <c r="A25" s="1052"/>
      <c r="B25" s="1054"/>
      <c r="C25" s="463" t="s">
        <v>11</v>
      </c>
      <c r="D25" s="196" t="s">
        <v>246</v>
      </c>
      <c r="E25" s="11"/>
      <c r="F25" s="11"/>
      <c r="G25" s="17"/>
      <c r="H25" s="18"/>
      <c r="I25" s="52"/>
      <c r="J25" s="18"/>
      <c r="K25" s="19"/>
      <c r="N25" s="961" t="s">
        <v>136</v>
      </c>
      <c r="O25" s="1040"/>
    </row>
    <row r="26" spans="1:15" ht="12" customHeight="1" thickBot="1" x14ac:dyDescent="0.3">
      <c r="G26" s="837" t="s">
        <v>432</v>
      </c>
    </row>
    <row r="27" spans="1:15" ht="15.75" thickBot="1" x14ac:dyDescent="0.3">
      <c r="A27" s="2"/>
      <c r="B27" s="1045" t="s">
        <v>12</v>
      </c>
      <c r="C27" s="32" t="s">
        <v>13</v>
      </c>
      <c r="D27" s="464">
        <v>3413.3194620000004</v>
      </c>
      <c r="E27" s="5"/>
      <c r="F27" s="5"/>
      <c r="G27" s="922">
        <v>14374.640000000001</v>
      </c>
      <c r="H27" s="816"/>
      <c r="I27" s="816" t="s">
        <v>305</v>
      </c>
      <c r="M27" s="881"/>
    </row>
    <row r="28" spans="1:15" ht="15.75" thickBot="1" x14ac:dyDescent="0.3">
      <c r="A28" s="2"/>
      <c r="B28" s="1046"/>
      <c r="C28" s="21" t="s">
        <v>20</v>
      </c>
      <c r="D28" s="465">
        <v>5588.8318285714276</v>
      </c>
      <c r="E28" s="5"/>
      <c r="F28" s="5"/>
      <c r="G28" s="923">
        <v>23537</v>
      </c>
      <c r="H28" s="816"/>
      <c r="I28" s="816"/>
      <c r="J28" s="816"/>
      <c r="K28" s="816"/>
      <c r="M28" s="881"/>
    </row>
    <row r="29" spans="1:15" ht="15.75" thickBot="1" x14ac:dyDescent="0.3">
      <c r="A29" s="2"/>
      <c r="B29" s="1046"/>
      <c r="C29" s="21" t="s">
        <v>24</v>
      </c>
      <c r="D29" s="464">
        <v>285.12367975000001</v>
      </c>
      <c r="E29" s="5"/>
      <c r="F29" s="5"/>
      <c r="G29" s="924">
        <v>1182.3000000000002</v>
      </c>
      <c r="M29" s="881"/>
    </row>
    <row r="30" spans="1:15" ht="15.75" thickBot="1" x14ac:dyDescent="0.3">
      <c r="A30" s="2"/>
      <c r="B30" s="1046"/>
      <c r="C30" s="44" t="s">
        <v>21</v>
      </c>
      <c r="D30" s="470">
        <v>2860.2113160714284</v>
      </c>
      <c r="E30" s="6"/>
      <c r="F30" s="6"/>
      <c r="G30" s="925">
        <v>11352.8</v>
      </c>
      <c r="M30" s="881"/>
    </row>
    <row r="31" spans="1:15" x14ac:dyDescent="0.25">
      <c r="A31" s="2"/>
      <c r="B31" s="1047"/>
      <c r="C31" s="45" t="s">
        <v>25</v>
      </c>
      <c r="D31" s="467">
        <v>2646.0113160714286</v>
      </c>
      <c r="E31" s="6"/>
      <c r="F31" s="6"/>
      <c r="G31" s="926">
        <v>11134</v>
      </c>
      <c r="M31" s="881"/>
    </row>
    <row r="32" spans="1:15" ht="15.75" thickBot="1" x14ac:dyDescent="0.3">
      <c r="A32" s="2"/>
      <c r="B32" s="1047"/>
      <c r="C32" s="46" t="s">
        <v>26</v>
      </c>
      <c r="D32" s="468">
        <v>214.20000000000002</v>
      </c>
      <c r="E32" s="6"/>
      <c r="F32" s="6"/>
      <c r="G32" s="927">
        <v>218.79999999999998</v>
      </c>
      <c r="M32" s="881"/>
    </row>
    <row r="33" spans="1:13" ht="15.75" thickBot="1" x14ac:dyDescent="0.3">
      <c r="A33" s="2"/>
      <c r="B33" s="1048"/>
      <c r="C33" s="43" t="s">
        <v>23</v>
      </c>
      <c r="D33" s="469">
        <v>12147.486286392857</v>
      </c>
      <c r="E33" s="6"/>
      <c r="F33" s="929"/>
      <c r="G33" s="928">
        <v>50446.740000000005</v>
      </c>
      <c r="M33" s="881"/>
    </row>
    <row r="34" spans="1:13" ht="18.75" customHeight="1" x14ac:dyDescent="0.25">
      <c r="A34" s="176" t="s">
        <v>374</v>
      </c>
      <c r="B34" s="33"/>
      <c r="D34" s="54"/>
      <c r="E34" s="55">
        <v>24.19</v>
      </c>
      <c r="F34" s="1145" t="s">
        <v>445</v>
      </c>
      <c r="G34" s="1145"/>
      <c r="H34" s="1145"/>
      <c r="I34" s="1145"/>
      <c r="J34" s="1145"/>
      <c r="K34" s="1145"/>
    </row>
    <row r="35" spans="1:13" x14ac:dyDescent="0.25">
      <c r="A35" s="176" t="s">
        <v>443</v>
      </c>
      <c r="B35" s="33"/>
      <c r="E35" s="47">
        <v>18</v>
      </c>
      <c r="F35" s="1145"/>
      <c r="G35" s="1145"/>
      <c r="H35" s="1145"/>
      <c r="I35" s="1145"/>
      <c r="J35" s="1145"/>
      <c r="K35" s="1145"/>
    </row>
    <row r="36" spans="1:13" x14ac:dyDescent="0.25">
      <c r="A36" s="176" t="s">
        <v>444</v>
      </c>
      <c r="F36" s="1145"/>
      <c r="G36" s="1145"/>
      <c r="H36" s="1145"/>
      <c r="I36" s="1145"/>
      <c r="J36" s="1145"/>
      <c r="K36" s="1145"/>
    </row>
  </sheetData>
  <mergeCells count="13">
    <mergeCell ref="O24:O25"/>
    <mergeCell ref="N11:N12"/>
    <mergeCell ref="F34:K36"/>
    <mergeCell ref="A5:A6"/>
    <mergeCell ref="B24:B25"/>
    <mergeCell ref="B27:B33"/>
    <mergeCell ref="C11:C12"/>
    <mergeCell ref="B20:B21"/>
    <mergeCell ref="A24:A25"/>
    <mergeCell ref="A11:A12"/>
    <mergeCell ref="A20:A21"/>
    <mergeCell ref="A15:A16"/>
    <mergeCell ref="O15:O16"/>
  </mergeCells>
  <conditionalFormatting sqref="N5:N8">
    <cfRule type="cellIs" dxfId="63" priority="25" operator="equal">
      <formula>$P$7</formula>
    </cfRule>
    <cfRule type="cellIs" dxfId="62" priority="26" operator="equal">
      <formula>$P$6</formula>
    </cfRule>
    <cfRule type="cellIs" dxfId="61" priority="27" operator="equal">
      <formula>$P$5</formula>
    </cfRule>
    <cfRule type="cellIs" dxfId="60" priority="28" operator="notEqual">
      <formula>$P$4</formula>
    </cfRule>
  </conditionalFormatting>
  <conditionalFormatting sqref="N11">
    <cfRule type="cellIs" dxfId="59" priority="21" operator="equal">
      <formula>$P$7</formula>
    </cfRule>
    <cfRule type="cellIs" dxfId="58" priority="22" operator="equal">
      <formula>$P$6</formula>
    </cfRule>
    <cfRule type="cellIs" dxfId="57" priority="23" operator="equal">
      <formula>$P$5</formula>
    </cfRule>
    <cfRule type="cellIs" dxfId="56" priority="24" operator="notEqual">
      <formula>$P$4</formula>
    </cfRule>
  </conditionalFormatting>
  <conditionalFormatting sqref="N15:N16">
    <cfRule type="cellIs" dxfId="55" priority="17" operator="equal">
      <formula>$P$7</formula>
    </cfRule>
    <cfRule type="cellIs" dxfId="54" priority="18" operator="equal">
      <formula>$P$6</formula>
    </cfRule>
    <cfRule type="cellIs" dxfId="53" priority="19" operator="equal">
      <formula>$P$5</formula>
    </cfRule>
    <cfRule type="cellIs" dxfId="52" priority="20" operator="notEqual">
      <formula>$P$4</formula>
    </cfRule>
  </conditionalFormatting>
  <conditionalFormatting sqref="N20:N21">
    <cfRule type="cellIs" dxfId="51" priority="13" operator="equal">
      <formula>$P$7</formula>
    </cfRule>
    <cfRule type="cellIs" dxfId="50" priority="14" operator="equal">
      <formula>$P$6</formula>
    </cfRule>
    <cfRule type="cellIs" dxfId="49" priority="15" operator="equal">
      <formula>$P$5</formula>
    </cfRule>
    <cfRule type="cellIs" dxfId="48" priority="16" operator="notEqual">
      <formula>$P$4</formula>
    </cfRule>
  </conditionalFormatting>
  <conditionalFormatting sqref="N24:N25">
    <cfRule type="cellIs" dxfId="47" priority="9" operator="equal">
      <formula>$P$7</formula>
    </cfRule>
    <cfRule type="cellIs" dxfId="46" priority="10" operator="equal">
      <formula>$P$6</formula>
    </cfRule>
    <cfRule type="cellIs" dxfId="45" priority="11" operator="equal">
      <formula>$P$5</formula>
    </cfRule>
    <cfRule type="cellIs" dxfId="44" priority="12" operator="notEqual">
      <formula>$P$4</formula>
    </cfRule>
  </conditionalFormatting>
  <conditionalFormatting sqref="L16">
    <cfRule type="cellIs" dxfId="43" priority="1" operator="equal">
      <formula>$P$7</formula>
    </cfRule>
    <cfRule type="cellIs" dxfId="42" priority="2" operator="equal">
      <formula>$P$6</formula>
    </cfRule>
    <cfRule type="cellIs" dxfId="41" priority="3" operator="equal">
      <formula>$P$5</formula>
    </cfRule>
    <cfRule type="cellIs" dxfId="40" priority="4" operator="notEqual">
      <formula>$P$4</formula>
    </cfRule>
  </conditionalFormatting>
  <conditionalFormatting sqref="L15">
    <cfRule type="cellIs" dxfId="39" priority="5" operator="equal">
      <formula>$P$7</formula>
    </cfRule>
    <cfRule type="cellIs" dxfId="38" priority="6" operator="equal">
      <formula>$P$6</formula>
    </cfRule>
    <cfRule type="cellIs" dxfId="37" priority="7" operator="equal">
      <formula>$P$5</formula>
    </cfRule>
    <cfRule type="cellIs" dxfId="36" priority="8" operator="notEqual">
      <formula>$P$4</formula>
    </cfRule>
  </conditionalFormatting>
  <dataValidations count="1">
    <dataValidation type="list" allowBlank="1" showInputMessage="1" showErrorMessage="1" sqref="N5:N8 N11 N24:N25 N20:N21 N15:N16 L15:L16" xr:uid="{4E4D0DA4-F5CC-430A-B68E-490CC1E869DD}">
      <formula1>$P$4:$P$7</formula1>
    </dataValidation>
  </dataValidations>
  <pageMargins left="0.7" right="0.7" top="0.75" bottom="0.75" header="0.3" footer="0.3"/>
  <pageSetup paperSize="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sheetPr>
  <dimension ref="A1:R37"/>
  <sheetViews>
    <sheetView topLeftCell="A10" zoomScaleNormal="100" workbookViewId="0">
      <selection activeCell="A5" sqref="A5:A6"/>
    </sheetView>
  </sheetViews>
  <sheetFormatPr defaultRowHeight="12.75" x14ac:dyDescent="0.2"/>
  <cols>
    <col min="1" max="1" width="18" style="163" customWidth="1"/>
    <col min="2" max="2" width="42.5703125" style="163" customWidth="1"/>
    <col min="3" max="3" width="40.5703125" style="163" customWidth="1"/>
    <col min="4" max="4" width="38.7109375" style="163" customWidth="1"/>
    <col min="5" max="6" width="8.140625" style="163" hidden="1" customWidth="1"/>
    <col min="7" max="7" width="7.85546875" style="163" hidden="1" customWidth="1"/>
    <col min="8" max="8" width="10" style="163" hidden="1" customWidth="1"/>
    <col min="9" max="9" width="8.5703125" style="163" hidden="1" customWidth="1"/>
    <col min="10" max="10" width="7.28515625" style="163" hidden="1" customWidth="1"/>
    <col min="11" max="11" width="9.5703125" style="163" hidden="1" customWidth="1"/>
    <col min="12" max="12" width="9.140625" style="163"/>
    <col min="13" max="13" width="33.7109375" style="163" customWidth="1"/>
    <col min="14" max="16" width="9.140625" style="163"/>
    <col min="17" max="18" width="0" style="163" hidden="1" customWidth="1"/>
    <col min="19" max="16384" width="9.140625" style="163"/>
  </cols>
  <sheetData>
    <row r="1" spans="1:18" ht="18" x14ac:dyDescent="0.25">
      <c r="A1" s="735" t="s">
        <v>572</v>
      </c>
      <c r="J1" s="164"/>
      <c r="K1" s="573" t="s">
        <v>331</v>
      </c>
      <c r="M1" s="1016">
        <v>43586</v>
      </c>
    </row>
    <row r="2" spans="1:18" ht="16.5" customHeight="1" thickBot="1" x14ac:dyDescent="0.25"/>
    <row r="3" spans="1:18" ht="16.5" customHeight="1" x14ac:dyDescent="0.25">
      <c r="A3" s="293" t="s">
        <v>197</v>
      </c>
      <c r="B3" s="645"/>
      <c r="C3" s="645"/>
      <c r="D3" s="645"/>
      <c r="E3" s="645"/>
      <c r="F3" s="645"/>
      <c r="G3" s="645"/>
      <c r="H3" s="645"/>
      <c r="I3" s="645"/>
      <c r="J3" s="645"/>
      <c r="K3" s="646"/>
      <c r="L3" s="294"/>
      <c r="M3" s="296"/>
      <c r="Q3" s="176"/>
      <c r="R3" s="176"/>
    </row>
    <row r="4" spans="1:18" ht="32.25"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Q4" s="945"/>
      <c r="R4" s="176" t="s">
        <v>136</v>
      </c>
    </row>
    <row r="5" spans="1:18" ht="31.5" customHeight="1" x14ac:dyDescent="0.25">
      <c r="A5" s="1049" t="s">
        <v>205</v>
      </c>
      <c r="B5" s="1025" t="s">
        <v>412</v>
      </c>
      <c r="C5" s="1025" t="s">
        <v>42</v>
      </c>
      <c r="D5" s="1025" t="s">
        <v>46</v>
      </c>
      <c r="E5" s="72"/>
      <c r="F5" s="798">
        <v>1.128E-2</v>
      </c>
      <c r="G5" s="488">
        <f>F5*(153939*1.025)</f>
        <v>1779.8427179999996</v>
      </c>
      <c r="H5" s="487">
        <v>2172</v>
      </c>
      <c r="I5" s="489">
        <f>G5+H5</f>
        <v>3951.8427179999999</v>
      </c>
      <c r="J5" s="592">
        <v>95</v>
      </c>
      <c r="K5" s="965">
        <f>I5*J5/100</f>
        <v>3754.2505821</v>
      </c>
      <c r="L5" s="1023" t="s">
        <v>136</v>
      </c>
      <c r="M5" s="941" t="s">
        <v>639</v>
      </c>
      <c r="Q5" s="946"/>
      <c r="R5" s="176" t="s">
        <v>496</v>
      </c>
    </row>
    <row r="6" spans="1:18" ht="60" customHeight="1" x14ac:dyDescent="0.25">
      <c r="A6" s="1050"/>
      <c r="B6" s="144" t="s">
        <v>40</v>
      </c>
      <c r="C6" s="144" t="s">
        <v>45</v>
      </c>
      <c r="D6" s="144" t="s">
        <v>366</v>
      </c>
      <c r="E6" s="72"/>
      <c r="F6" s="35"/>
      <c r="G6" s="34"/>
      <c r="H6" s="12"/>
      <c r="I6" s="12"/>
      <c r="J6" s="13"/>
      <c r="K6" s="14"/>
      <c r="L6" s="960" t="s">
        <v>136</v>
      </c>
      <c r="M6" s="943" t="s">
        <v>640</v>
      </c>
      <c r="Q6" s="948"/>
      <c r="R6" s="176" t="s">
        <v>498</v>
      </c>
    </row>
    <row r="7" spans="1:18" ht="30.75" customHeight="1" x14ac:dyDescent="0.2">
      <c r="A7" s="223"/>
      <c r="B7" s="413" t="s">
        <v>41</v>
      </c>
      <c r="C7" s="413" t="s">
        <v>43</v>
      </c>
      <c r="D7" s="717" t="s">
        <v>373</v>
      </c>
      <c r="E7" s="72"/>
      <c r="F7" s="35"/>
      <c r="G7" s="34"/>
      <c r="H7" s="12"/>
      <c r="I7" s="12"/>
      <c r="J7" s="13"/>
      <c r="K7" s="14"/>
      <c r="L7" s="960" t="s">
        <v>136</v>
      </c>
      <c r="M7" s="1017" t="s">
        <v>641</v>
      </c>
    </row>
    <row r="8" spans="1:18" ht="41.25" customHeight="1" thickBot="1" x14ac:dyDescent="0.25">
      <c r="A8" s="223"/>
      <c r="B8" s="144" t="s">
        <v>37</v>
      </c>
      <c r="C8" s="144" t="s">
        <v>44</v>
      </c>
      <c r="D8" s="336" t="s">
        <v>47</v>
      </c>
      <c r="E8" s="72"/>
      <c r="F8" s="35"/>
      <c r="G8" s="34"/>
      <c r="H8" s="12"/>
      <c r="I8" s="12"/>
      <c r="J8" s="13"/>
      <c r="K8" s="14"/>
      <c r="L8" s="960" t="s">
        <v>136</v>
      </c>
      <c r="M8" s="988" t="s">
        <v>642</v>
      </c>
    </row>
    <row r="9" spans="1:18" ht="18" customHeight="1" x14ac:dyDescent="0.25">
      <c r="A9" s="207" t="s">
        <v>198</v>
      </c>
      <c r="B9" s="643"/>
      <c r="C9" s="643"/>
      <c r="D9" s="643"/>
      <c r="E9" s="643"/>
      <c r="F9" s="643"/>
      <c r="G9" s="643"/>
      <c r="H9" s="643"/>
      <c r="I9" s="643"/>
      <c r="J9" s="643"/>
      <c r="K9" s="644"/>
      <c r="L9" s="691"/>
      <c r="M9" s="692"/>
    </row>
    <row r="10" spans="1:18" ht="30.75" customHeight="1" thickBot="1" x14ac:dyDescent="0.25">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8" ht="39.75" customHeight="1" x14ac:dyDescent="0.25">
      <c r="A11" s="1050" t="s">
        <v>204</v>
      </c>
      <c r="B11" s="3" t="s">
        <v>6</v>
      </c>
      <c r="C11" s="1051" t="s">
        <v>27</v>
      </c>
      <c r="D11" s="570" t="s">
        <v>283</v>
      </c>
      <c r="E11" s="7"/>
      <c r="F11" s="813">
        <v>3.7999999999999999E-2</v>
      </c>
      <c r="G11" s="488">
        <f>F11*(176702*1.025)</f>
        <v>6882.5428999999995</v>
      </c>
      <c r="H11" s="488">
        <v>0</v>
      </c>
      <c r="I11" s="488">
        <f>G11+H11</f>
        <v>6882.5428999999995</v>
      </c>
      <c r="J11" s="487">
        <v>100</v>
      </c>
      <c r="K11" s="488">
        <f>I11*J11/100</f>
        <v>6882.5428999999995</v>
      </c>
      <c r="L11" s="1066" t="s">
        <v>136</v>
      </c>
      <c r="M11" s="938"/>
    </row>
    <row r="12" spans="1:18" ht="42" customHeight="1" thickBot="1" x14ac:dyDescent="0.3">
      <c r="A12" s="1052"/>
      <c r="B12" s="3" t="s">
        <v>7</v>
      </c>
      <c r="C12" s="1051"/>
      <c r="D12" s="68"/>
      <c r="E12" s="113"/>
      <c r="F12" s="35"/>
      <c r="G12" s="34"/>
      <c r="H12" s="12"/>
      <c r="I12" s="12"/>
      <c r="J12" s="13"/>
      <c r="K12" s="34"/>
      <c r="L12" s="1067"/>
      <c r="M12" s="938"/>
    </row>
    <row r="13" spans="1:18" ht="15.75" x14ac:dyDescent="0.25">
      <c r="A13" s="624" t="s">
        <v>209</v>
      </c>
      <c r="B13" s="641"/>
      <c r="C13" s="641"/>
      <c r="D13" s="641"/>
      <c r="E13" s="641"/>
      <c r="F13" s="641"/>
      <c r="G13" s="641"/>
      <c r="H13" s="641"/>
      <c r="I13" s="641"/>
      <c r="J13" s="641"/>
      <c r="K13" s="642"/>
      <c r="L13" s="625"/>
      <c r="M13" s="626"/>
    </row>
    <row r="14" spans="1:18" ht="30.75" customHeight="1" thickBot="1" x14ac:dyDescent="0.25">
      <c r="A14" s="627" t="s">
        <v>0</v>
      </c>
      <c r="B14" s="628" t="s">
        <v>1</v>
      </c>
      <c r="C14" s="628" t="s">
        <v>14</v>
      </c>
      <c r="D14" s="628" t="s">
        <v>32</v>
      </c>
      <c r="E14" s="628" t="s">
        <v>18</v>
      </c>
      <c r="F14" s="628" t="s">
        <v>30</v>
      </c>
      <c r="G14" s="628" t="s">
        <v>2</v>
      </c>
      <c r="H14" s="628" t="s">
        <v>3</v>
      </c>
      <c r="I14" s="628" t="s">
        <v>4</v>
      </c>
      <c r="J14" s="628" t="s">
        <v>29</v>
      </c>
      <c r="K14" s="629" t="s">
        <v>15</v>
      </c>
      <c r="L14" s="628" t="s">
        <v>18</v>
      </c>
      <c r="M14" s="629" t="s">
        <v>495</v>
      </c>
    </row>
    <row r="15" spans="1:18" ht="45" customHeight="1" thickBot="1" x14ac:dyDescent="0.25">
      <c r="A15" s="1049" t="s">
        <v>210</v>
      </c>
      <c r="B15" s="940" t="s">
        <v>512</v>
      </c>
      <c r="C15" s="978" t="s">
        <v>499</v>
      </c>
      <c r="D15" s="757" t="s">
        <v>452</v>
      </c>
      <c r="E15" s="203"/>
      <c r="F15" s="981"/>
      <c r="G15" s="982"/>
      <c r="H15" s="983"/>
      <c r="I15" s="982"/>
      <c r="J15" s="984"/>
      <c r="K15" s="985"/>
      <c r="L15" s="960" t="s">
        <v>136</v>
      </c>
      <c r="M15" s="1091" t="s">
        <v>648</v>
      </c>
    </row>
    <row r="16" spans="1:18" ht="33.75" customHeight="1" thickBot="1" x14ac:dyDescent="0.25">
      <c r="A16" s="1050"/>
      <c r="B16" s="979" t="s">
        <v>36</v>
      </c>
      <c r="C16" s="979" t="s">
        <v>38</v>
      </c>
      <c r="D16" s="980" t="s">
        <v>514</v>
      </c>
      <c r="E16" s="203"/>
      <c r="F16" s="981"/>
      <c r="G16" s="982"/>
      <c r="H16" s="983"/>
      <c r="I16" s="982"/>
      <c r="J16" s="984"/>
      <c r="K16" s="985"/>
      <c r="L16" s="960" t="s">
        <v>136</v>
      </c>
      <c r="M16" s="1092"/>
    </row>
    <row r="17" spans="1:13" ht="16.5" customHeight="1" thickBot="1" x14ac:dyDescent="0.25">
      <c r="A17" s="36" t="s">
        <v>199</v>
      </c>
      <c r="B17" s="165"/>
      <c r="C17" s="24"/>
      <c r="D17" s="25"/>
      <c r="E17" s="26"/>
      <c r="F17" s="26"/>
      <c r="G17" s="27"/>
      <c r="H17" s="27"/>
      <c r="I17" s="27"/>
      <c r="J17" s="27"/>
      <c r="K17" s="28"/>
      <c r="L17" s="25"/>
      <c r="M17" s="944"/>
    </row>
    <row r="18" spans="1:13" ht="19.5" customHeight="1" x14ac:dyDescent="0.25">
      <c r="A18" s="638" t="s">
        <v>200</v>
      </c>
      <c r="B18" s="639"/>
      <c r="C18" s="639"/>
      <c r="D18" s="639"/>
      <c r="E18" s="639"/>
      <c r="F18" s="639"/>
      <c r="G18" s="639"/>
      <c r="H18" s="639"/>
      <c r="I18" s="639"/>
      <c r="J18" s="639"/>
      <c r="K18" s="640"/>
      <c r="L18" s="194"/>
      <c r="M18" s="195"/>
    </row>
    <row r="19" spans="1:13" ht="32.25" customHeight="1" thickBot="1" x14ac:dyDescent="0.25">
      <c r="A19" s="279" t="s">
        <v>0</v>
      </c>
      <c r="B19" s="267" t="s">
        <v>1</v>
      </c>
      <c r="C19" s="280" t="s">
        <v>14</v>
      </c>
      <c r="D19" s="267" t="s">
        <v>17</v>
      </c>
      <c r="E19" s="268" t="s">
        <v>18</v>
      </c>
      <c r="F19" s="268" t="s">
        <v>30</v>
      </c>
      <c r="G19" s="268" t="s">
        <v>2</v>
      </c>
      <c r="H19" s="280" t="s">
        <v>3</v>
      </c>
      <c r="I19" s="267" t="s">
        <v>4</v>
      </c>
      <c r="J19" s="280" t="s">
        <v>5</v>
      </c>
      <c r="K19" s="281" t="s">
        <v>31</v>
      </c>
      <c r="L19" s="267" t="s">
        <v>18</v>
      </c>
      <c r="M19" s="281" t="s">
        <v>495</v>
      </c>
    </row>
    <row r="20" spans="1:13" ht="27.75" customHeight="1" x14ac:dyDescent="0.2">
      <c r="A20" s="29" t="s">
        <v>202</v>
      </c>
      <c r="B20" s="1053" t="s">
        <v>8</v>
      </c>
      <c r="C20" s="242" t="s">
        <v>9</v>
      </c>
      <c r="D20" s="242" t="s">
        <v>34</v>
      </c>
      <c r="E20" s="60"/>
      <c r="F20" s="604">
        <v>6.1400000000000003E-2</v>
      </c>
      <c r="G20" s="472">
        <f>F20*(128495*1.025)</f>
        <v>8086.8328250000004</v>
      </c>
      <c r="H20" s="473">
        <v>798</v>
      </c>
      <c r="I20" s="474">
        <f>G20+H20</f>
        <v>8884.8328250000013</v>
      </c>
      <c r="J20" s="593">
        <v>100</v>
      </c>
      <c r="K20" s="476">
        <f>I20*J20/100</f>
        <v>8884.8328250000013</v>
      </c>
      <c r="L20" s="960" t="s">
        <v>136</v>
      </c>
      <c r="M20" s="1012" t="s">
        <v>547</v>
      </c>
    </row>
    <row r="21" spans="1:13" ht="29.25" customHeight="1" x14ac:dyDescent="0.2">
      <c r="A21" s="423"/>
      <c r="B21" s="1126"/>
      <c r="C21" s="67" t="s">
        <v>242</v>
      </c>
      <c r="D21" s="67" t="s">
        <v>35</v>
      </c>
      <c r="E21" s="387"/>
      <c r="F21" s="7"/>
      <c r="G21" s="502"/>
      <c r="H21" s="185"/>
      <c r="I21" s="186"/>
      <c r="J21" s="185"/>
      <c r="K21" s="186"/>
      <c r="L21" s="1062" t="s">
        <v>136</v>
      </c>
      <c r="M21" s="942" t="s">
        <v>524</v>
      </c>
    </row>
    <row r="22" spans="1:13" ht="15.75" customHeight="1" thickBot="1" x14ac:dyDescent="0.25">
      <c r="A22" s="220"/>
      <c r="B22" s="436" t="s">
        <v>377</v>
      </c>
      <c r="C22" s="435"/>
      <c r="D22" s="435"/>
      <c r="E22" s="537"/>
      <c r="F22" s="538"/>
      <c r="G22" s="190"/>
      <c r="H22" s="189"/>
      <c r="I22" s="189"/>
      <c r="J22" s="189"/>
      <c r="K22" s="437"/>
      <c r="L22" s="1067"/>
      <c r="M22" s="943"/>
    </row>
    <row r="23" spans="1:13" ht="15.75" x14ac:dyDescent="0.25">
      <c r="A23" s="635" t="s">
        <v>201</v>
      </c>
      <c r="B23" s="636"/>
      <c r="C23" s="636"/>
      <c r="D23" s="636"/>
      <c r="E23" s="636"/>
      <c r="F23" s="636"/>
      <c r="G23" s="636"/>
      <c r="H23" s="636"/>
      <c r="I23" s="636"/>
      <c r="J23" s="636"/>
      <c r="K23" s="637"/>
      <c r="L23" s="206"/>
      <c r="M23" s="210"/>
    </row>
    <row r="24" spans="1:13" ht="29.25" customHeight="1" thickBot="1" x14ac:dyDescent="0.25">
      <c r="A24" s="271" t="s">
        <v>0</v>
      </c>
      <c r="B24" s="266" t="s">
        <v>1</v>
      </c>
      <c r="C24" s="272" t="s">
        <v>14</v>
      </c>
      <c r="D24" s="266" t="s">
        <v>17</v>
      </c>
      <c r="E24" s="266" t="s">
        <v>18</v>
      </c>
      <c r="F24" s="266" t="s">
        <v>30</v>
      </c>
      <c r="G24" s="266" t="s">
        <v>2</v>
      </c>
      <c r="H24" s="272" t="s">
        <v>3</v>
      </c>
      <c r="I24" s="266" t="s">
        <v>4</v>
      </c>
      <c r="J24" s="272" t="s">
        <v>5</v>
      </c>
      <c r="K24" s="273" t="s">
        <v>31</v>
      </c>
      <c r="L24" s="266" t="s">
        <v>18</v>
      </c>
      <c r="M24" s="273" t="s">
        <v>495</v>
      </c>
    </row>
    <row r="25" spans="1:13" ht="30" customHeight="1" x14ac:dyDescent="0.2">
      <c r="A25" s="10" t="s">
        <v>203</v>
      </c>
      <c r="B25" s="1053" t="s">
        <v>10</v>
      </c>
      <c r="C25" s="462" t="s">
        <v>19</v>
      </c>
      <c r="D25" s="103" t="s">
        <v>245</v>
      </c>
      <c r="E25" s="30"/>
      <c r="F25" s="487">
        <v>0</v>
      </c>
      <c r="G25" s="487">
        <v>0</v>
      </c>
      <c r="H25" s="594">
        <f>22*21.42</f>
        <v>471.24</v>
      </c>
      <c r="I25" s="595">
        <f>G25+H25</f>
        <v>471.24</v>
      </c>
      <c r="J25" s="593">
        <v>100</v>
      </c>
      <c r="K25" s="596">
        <f>I25*J25/100</f>
        <v>471.24</v>
      </c>
      <c r="L25" s="960" t="s">
        <v>136</v>
      </c>
      <c r="M25" s="1039" t="s">
        <v>548</v>
      </c>
    </row>
    <row r="26" spans="1:13" ht="30.75" customHeight="1" thickBot="1" x14ac:dyDescent="0.25">
      <c r="A26" s="20"/>
      <c r="B26" s="1054"/>
      <c r="C26" s="463" t="s">
        <v>11</v>
      </c>
      <c r="D26" s="196" t="s">
        <v>246</v>
      </c>
      <c r="E26" s="11"/>
      <c r="F26" s="11"/>
      <c r="G26" s="17"/>
      <c r="H26" s="18"/>
      <c r="I26" s="52"/>
      <c r="J26" s="18"/>
      <c r="K26" s="437"/>
      <c r="L26" s="961" t="s">
        <v>136</v>
      </c>
      <c r="M26" s="1040"/>
    </row>
    <row r="27" spans="1:13" ht="17.25" customHeight="1" thickBot="1" x14ac:dyDescent="0.25">
      <c r="G27" s="579" t="s">
        <v>432</v>
      </c>
    </row>
    <row r="28" spans="1:13" ht="15.75" customHeight="1" thickBot="1" x14ac:dyDescent="0.25">
      <c r="A28" s="166"/>
      <c r="B28" s="1045" t="s">
        <v>12</v>
      </c>
      <c r="C28" s="32" t="s">
        <v>13</v>
      </c>
      <c r="D28" s="464">
        <v>1126.3330415999999</v>
      </c>
      <c r="E28" s="167"/>
      <c r="F28" s="167"/>
      <c r="G28" s="912">
        <v>1096.3</v>
      </c>
      <c r="H28" s="921"/>
      <c r="I28" s="921" t="s">
        <v>376</v>
      </c>
    </row>
    <row r="29" spans="1:13" ht="13.5" thickBot="1" x14ac:dyDescent="0.25">
      <c r="A29" s="166"/>
      <c r="B29" s="1046"/>
      <c r="C29" s="21" t="s">
        <v>20</v>
      </c>
      <c r="D29" s="465">
        <v>6882.5428999999995</v>
      </c>
      <c r="E29" s="167"/>
      <c r="F29" s="167"/>
      <c r="G29" s="846">
        <v>6732</v>
      </c>
    </row>
    <row r="30" spans="1:13" ht="13.5" thickBot="1" x14ac:dyDescent="0.25">
      <c r="A30" s="166"/>
      <c r="B30" s="1046"/>
      <c r="C30" s="21" t="s">
        <v>24</v>
      </c>
      <c r="D30" s="464">
        <v>3754.2505821</v>
      </c>
      <c r="E30" s="167"/>
      <c r="F30" s="167"/>
      <c r="G30" s="878">
        <v>3671.75</v>
      </c>
    </row>
    <row r="31" spans="1:13" ht="13.5" thickBot="1" x14ac:dyDescent="0.25">
      <c r="A31" s="166"/>
      <c r="B31" s="1046"/>
      <c r="C31" s="44" t="s">
        <v>21</v>
      </c>
      <c r="D31" s="470">
        <v>9356.0728250000011</v>
      </c>
      <c r="E31" s="168"/>
      <c r="F31" s="168"/>
      <c r="G31" s="879">
        <v>9169.36</v>
      </c>
    </row>
    <row r="32" spans="1:13" x14ac:dyDescent="0.2">
      <c r="A32" s="166"/>
      <c r="B32" s="1047"/>
      <c r="C32" s="45" t="s">
        <v>25</v>
      </c>
      <c r="D32" s="467">
        <v>8884.8328250000013</v>
      </c>
      <c r="E32" s="168"/>
      <c r="F32" s="168"/>
      <c r="G32" s="891">
        <v>8688</v>
      </c>
    </row>
    <row r="33" spans="1:7" ht="13.5" thickBot="1" x14ac:dyDescent="0.25">
      <c r="A33" s="166"/>
      <c r="B33" s="1047"/>
      <c r="C33" s="46" t="s">
        <v>26</v>
      </c>
      <c r="D33" s="468">
        <v>471.24</v>
      </c>
      <c r="E33" s="168"/>
      <c r="F33" s="168"/>
      <c r="G33" s="891">
        <v>481.3599999999999</v>
      </c>
    </row>
    <row r="34" spans="1:7" ht="13.5" thickBot="1" x14ac:dyDescent="0.25">
      <c r="A34" s="166"/>
      <c r="B34" s="1048"/>
      <c r="C34" s="43" t="s">
        <v>23</v>
      </c>
      <c r="D34" s="469">
        <v>21119.1993487</v>
      </c>
      <c r="E34" s="168"/>
      <c r="F34" s="168"/>
      <c r="G34" s="874">
        <v>20669.41</v>
      </c>
    </row>
    <row r="35" spans="1:7" x14ac:dyDescent="0.2">
      <c r="B35" s="33"/>
      <c r="E35" s="169">
        <v>24.19</v>
      </c>
      <c r="F35" s="169"/>
    </row>
    <row r="36" spans="1:7" ht="15" x14ac:dyDescent="0.25">
      <c r="A36" s="176" t="s">
        <v>374</v>
      </c>
      <c r="B36" s="33"/>
      <c r="D36" s="170"/>
      <c r="E36" s="171">
        <v>18</v>
      </c>
      <c r="F36" s="171"/>
    </row>
    <row r="37" spans="1:7" ht="15" x14ac:dyDescent="0.25">
      <c r="A37" s="176" t="s">
        <v>392</v>
      </c>
    </row>
  </sheetData>
  <mergeCells count="11">
    <mergeCell ref="M25:M26"/>
    <mergeCell ref="L21:L22"/>
    <mergeCell ref="L11:L12"/>
    <mergeCell ref="M15:M16"/>
    <mergeCell ref="A5:A6"/>
    <mergeCell ref="B28:B34"/>
    <mergeCell ref="C11:C12"/>
    <mergeCell ref="B25:B26"/>
    <mergeCell ref="B20:B21"/>
    <mergeCell ref="A15:A16"/>
    <mergeCell ref="A11:A12"/>
  </mergeCells>
  <conditionalFormatting sqref="L25:L26 L5">
    <cfRule type="cellIs" dxfId="35" priority="29" operator="equal">
      <formula>$P$6</formula>
    </cfRule>
    <cfRule type="cellIs" dxfId="34" priority="30" operator="equal">
      <formula>#REF!</formula>
    </cfRule>
    <cfRule type="cellIs" dxfId="33" priority="31" operator="equal">
      <formula>$P$5</formula>
    </cfRule>
    <cfRule type="cellIs" dxfId="32" priority="32" operator="notEqual">
      <formula>$P$4</formula>
    </cfRule>
  </conditionalFormatting>
  <conditionalFormatting sqref="L20:L21">
    <cfRule type="cellIs" dxfId="31" priority="25" operator="equal">
      <formula>$P$6</formula>
    </cfRule>
    <cfRule type="cellIs" dxfId="30" priority="26" operator="equal">
      <formula>#REF!</formula>
    </cfRule>
    <cfRule type="cellIs" dxfId="29" priority="27" operator="equal">
      <formula>$P$5</formula>
    </cfRule>
    <cfRule type="cellIs" dxfId="28" priority="28" operator="notEqual">
      <formula>$P$4</formula>
    </cfRule>
  </conditionalFormatting>
  <conditionalFormatting sqref="L11">
    <cfRule type="cellIs" dxfId="27" priority="17" operator="equal">
      <formula>$P$6</formula>
    </cfRule>
    <cfRule type="cellIs" dxfId="26" priority="18" operator="equal">
      <formula>#REF!</formula>
    </cfRule>
    <cfRule type="cellIs" dxfId="25" priority="19" operator="equal">
      <formula>$P$5</formula>
    </cfRule>
    <cfRule type="cellIs" dxfId="24" priority="20" operator="notEqual">
      <formula>$P$4</formula>
    </cfRule>
  </conditionalFormatting>
  <conditionalFormatting sqref="L6:L8">
    <cfRule type="cellIs" dxfId="23" priority="13" operator="equal">
      <formula>$P$6</formula>
    </cfRule>
    <cfRule type="cellIs" dxfId="22" priority="14" operator="equal">
      <formula>#REF!</formula>
    </cfRule>
    <cfRule type="cellIs" dxfId="21" priority="15" operator="equal">
      <formula>$P$5</formula>
    </cfRule>
    <cfRule type="cellIs" dxfId="20" priority="16" operator="notEqual">
      <formula>$P$4</formula>
    </cfRule>
  </conditionalFormatting>
  <conditionalFormatting sqref="L16">
    <cfRule type="cellIs" dxfId="19" priority="1" operator="equal">
      <formula>$P$6</formula>
    </cfRule>
    <cfRule type="cellIs" dxfId="18" priority="2" operator="equal">
      <formula>#REF!</formula>
    </cfRule>
    <cfRule type="cellIs" dxfId="17" priority="3" operator="equal">
      <formula>$P$5</formula>
    </cfRule>
    <cfRule type="cellIs" dxfId="16" priority="4" operator="notEqual">
      <formula>$P$4</formula>
    </cfRule>
  </conditionalFormatting>
  <conditionalFormatting sqref="L15">
    <cfRule type="cellIs" dxfId="15" priority="5" operator="equal">
      <formula>$P$6</formula>
    </cfRule>
    <cfRule type="cellIs" dxfId="14" priority="6" operator="equal">
      <formula>#REF!</formula>
    </cfRule>
    <cfRule type="cellIs" dxfId="13" priority="7" operator="equal">
      <formula>$P$5</formula>
    </cfRule>
    <cfRule type="cellIs" dxfId="12" priority="8" operator="notEqual">
      <formula>$P$4</formula>
    </cfRule>
  </conditionalFormatting>
  <dataValidations count="1">
    <dataValidation type="list" allowBlank="1" showInputMessage="1" showErrorMessage="1" sqref="L25:L26 L15:L16 L11 L5:L8 L20:L21" xr:uid="{DC9E024A-8156-428D-BCE5-5347E8FB76D4}">
      <formula1>$P$4:$P$6</formula1>
    </dataValidation>
  </dataValidations>
  <pageMargins left="0.7" right="0.7" top="0.75" bottom="0.75" header="0.3" footer="0.3"/>
  <pageSetup paperSize="8"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7030A0"/>
    <pageSetUpPr fitToPage="1"/>
  </sheetPr>
  <dimension ref="A1:P26"/>
  <sheetViews>
    <sheetView topLeftCell="C1" workbookViewId="0">
      <selection activeCell="C5" sqref="C5:C6"/>
    </sheetView>
  </sheetViews>
  <sheetFormatPr defaultRowHeight="15" x14ac:dyDescent="0.25"/>
  <cols>
    <col min="1" max="1" width="13.7109375" customWidth="1"/>
    <col min="2" max="2" width="46.140625" customWidth="1"/>
    <col min="3" max="3" width="50.42578125" customWidth="1"/>
    <col min="4" max="4" width="26.7109375" customWidth="1"/>
    <col min="5" max="5" width="7" hidden="1" customWidth="1"/>
    <col min="6" max="6" width="7.85546875" hidden="1" customWidth="1"/>
    <col min="7" max="7" width="10" hidden="1" customWidth="1"/>
    <col min="8" max="8" width="6.85546875" hidden="1" customWidth="1"/>
    <col min="9" max="9" width="5.7109375" hidden="1" customWidth="1"/>
    <col min="10" max="10" width="9.28515625" hidden="1" customWidth="1"/>
    <col min="12" max="12" width="20.28515625" customWidth="1"/>
    <col min="15" max="16" width="0" hidden="1" customWidth="1"/>
  </cols>
  <sheetData>
    <row r="1" spans="1:16" ht="18" x14ac:dyDescent="0.25">
      <c r="A1" s="735" t="s">
        <v>573</v>
      </c>
      <c r="B1" s="176"/>
      <c r="C1" s="176"/>
      <c r="D1" s="176"/>
      <c r="E1" s="176"/>
      <c r="F1" s="176"/>
      <c r="G1" s="313"/>
      <c r="H1" s="313"/>
      <c r="I1" s="313"/>
      <c r="J1" s="573" t="s">
        <v>331</v>
      </c>
      <c r="L1" s="1014">
        <v>43586</v>
      </c>
    </row>
    <row r="2" spans="1:16" s="176" customFormat="1" ht="12" customHeight="1" thickBot="1" x14ac:dyDescent="0.3">
      <c r="A2" s="177"/>
      <c r="G2" s="313"/>
      <c r="H2" s="313"/>
      <c r="I2" s="313"/>
    </row>
    <row r="3" spans="1:16" ht="21" customHeight="1" x14ac:dyDescent="0.25">
      <c r="A3" s="650" t="s">
        <v>198</v>
      </c>
      <c r="B3" s="208"/>
      <c r="C3" s="208"/>
      <c r="D3" s="208"/>
      <c r="E3" s="208"/>
      <c r="F3" s="208"/>
      <c r="G3" s="208"/>
      <c r="H3" s="208"/>
      <c r="I3" s="208"/>
      <c r="J3" s="211"/>
      <c r="K3" s="691"/>
      <c r="L3" s="692"/>
      <c r="O3" s="176"/>
      <c r="P3" s="176"/>
    </row>
    <row r="4" spans="1:16" ht="28.5" customHeight="1" thickBot="1" x14ac:dyDescent="0.3">
      <c r="A4" s="274" t="s">
        <v>0</v>
      </c>
      <c r="B4" s="275" t="s">
        <v>1</v>
      </c>
      <c r="C4" s="276" t="s">
        <v>16</v>
      </c>
      <c r="D4" s="275" t="s">
        <v>54</v>
      </c>
      <c r="E4" s="282" t="s">
        <v>30</v>
      </c>
      <c r="F4" s="282" t="s">
        <v>2</v>
      </c>
      <c r="G4" s="276" t="s">
        <v>3</v>
      </c>
      <c r="H4" s="275" t="s">
        <v>4</v>
      </c>
      <c r="I4" s="276" t="s">
        <v>59</v>
      </c>
      <c r="J4" s="277" t="s">
        <v>31</v>
      </c>
      <c r="K4" s="275" t="s">
        <v>18</v>
      </c>
      <c r="L4" s="277" t="s">
        <v>495</v>
      </c>
      <c r="O4" s="945"/>
      <c r="P4" s="176" t="s">
        <v>136</v>
      </c>
    </row>
    <row r="5" spans="1:16" ht="46.5" customHeight="1" x14ac:dyDescent="0.25">
      <c r="A5" s="1049" t="s">
        <v>204</v>
      </c>
      <c r="B5" s="225" t="s">
        <v>142</v>
      </c>
      <c r="C5" s="1053" t="s">
        <v>191</v>
      </c>
      <c r="D5" s="172" t="s">
        <v>248</v>
      </c>
      <c r="E5" s="604">
        <v>7.7399999999999997E-2</v>
      </c>
      <c r="F5" s="474">
        <f>E5*181119.55</f>
        <v>14018.653169999998</v>
      </c>
      <c r="G5" s="607" t="s">
        <v>22</v>
      </c>
      <c r="H5" s="598">
        <f>F5</f>
        <v>14018.653169999998</v>
      </c>
      <c r="I5" s="620">
        <v>100</v>
      </c>
      <c r="J5" s="966">
        <f>$H$5</f>
        <v>14018.653169999998</v>
      </c>
      <c r="K5" s="1066" t="s">
        <v>136</v>
      </c>
      <c r="L5" s="938"/>
      <c r="O5" s="946"/>
      <c r="P5" s="176" t="s">
        <v>496</v>
      </c>
    </row>
    <row r="6" spans="1:16" ht="67.5" customHeight="1" thickBot="1" x14ac:dyDescent="0.3">
      <c r="A6" s="1050"/>
      <c r="B6" s="198" t="s">
        <v>315</v>
      </c>
      <c r="C6" s="1051"/>
      <c r="D6" s="198"/>
      <c r="E6" s="198"/>
      <c r="F6" s="185"/>
      <c r="G6" s="185"/>
      <c r="H6" s="185"/>
      <c r="I6" s="186"/>
      <c r="J6" s="34"/>
      <c r="K6" s="1067"/>
      <c r="L6" s="938"/>
      <c r="O6" s="947"/>
      <c r="P6" s="176" t="s">
        <v>497</v>
      </c>
    </row>
    <row r="7" spans="1:16" s="176" customFormat="1" ht="16.5" thickBot="1" x14ac:dyDescent="0.3">
      <c r="A7" s="94" t="s">
        <v>199</v>
      </c>
      <c r="B7" s="23"/>
      <c r="C7" s="24"/>
      <c r="D7" s="25"/>
      <c r="E7" s="26"/>
      <c r="F7" s="26"/>
      <c r="G7" s="27"/>
      <c r="H7" s="27"/>
      <c r="I7" s="27"/>
      <c r="J7" s="28"/>
      <c r="K7" s="25"/>
      <c r="L7" s="944"/>
      <c r="O7" s="948"/>
      <c r="P7" s="176" t="s">
        <v>498</v>
      </c>
    </row>
    <row r="8" spans="1:16" ht="15.75" x14ac:dyDescent="0.25">
      <c r="A8" s="193" t="s">
        <v>200</v>
      </c>
      <c r="B8" s="194"/>
      <c r="C8" s="194"/>
      <c r="D8" s="194"/>
      <c r="E8" s="194"/>
      <c r="F8" s="194"/>
      <c r="G8" s="194"/>
      <c r="H8" s="194"/>
      <c r="I8" s="194"/>
      <c r="J8" s="195"/>
      <c r="K8" s="194"/>
      <c r="L8" s="195"/>
    </row>
    <row r="9" spans="1:16" ht="30" customHeight="1" thickBot="1" x14ac:dyDescent="0.3">
      <c r="A9" s="279" t="s">
        <v>0</v>
      </c>
      <c r="B9" s="267" t="s">
        <v>1</v>
      </c>
      <c r="C9" s="280" t="s">
        <v>14</v>
      </c>
      <c r="D9" s="267" t="s">
        <v>54</v>
      </c>
      <c r="E9" s="268" t="s">
        <v>30</v>
      </c>
      <c r="F9" s="268" t="s">
        <v>2</v>
      </c>
      <c r="G9" s="280" t="s">
        <v>3</v>
      </c>
      <c r="H9" s="267" t="s">
        <v>4</v>
      </c>
      <c r="I9" s="280" t="s">
        <v>59</v>
      </c>
      <c r="J9" s="281" t="s">
        <v>31</v>
      </c>
      <c r="K9" s="267" t="s">
        <v>18</v>
      </c>
      <c r="L9" s="281" t="s">
        <v>495</v>
      </c>
    </row>
    <row r="10" spans="1:16" ht="43.5" customHeight="1" x14ac:dyDescent="0.25">
      <c r="A10" s="1049" t="s">
        <v>207</v>
      </c>
      <c r="B10" s="1053" t="s">
        <v>225</v>
      </c>
      <c r="C10" s="380" t="s">
        <v>226</v>
      </c>
      <c r="D10" s="144" t="s">
        <v>231</v>
      </c>
      <c r="E10" s="748">
        <v>0.2152</v>
      </c>
      <c r="F10" s="609">
        <f>E10*131707.375</f>
        <v>28343.427100000001</v>
      </c>
      <c r="G10" s="472">
        <v>8996</v>
      </c>
      <c r="H10" s="474">
        <f>F10+G10</f>
        <v>37339.427100000001</v>
      </c>
      <c r="I10" s="593">
        <v>100</v>
      </c>
      <c r="J10" s="476">
        <f>$H$10</f>
        <v>37339.427100000001</v>
      </c>
      <c r="K10" s="960" t="s">
        <v>136</v>
      </c>
      <c r="L10" s="943" t="s">
        <v>519</v>
      </c>
    </row>
    <row r="11" spans="1:16" ht="43.5" customHeight="1" x14ac:dyDescent="0.25">
      <c r="A11" s="1050"/>
      <c r="B11" s="1072"/>
      <c r="C11" s="380" t="s">
        <v>227</v>
      </c>
      <c r="D11" s="336" t="s">
        <v>232</v>
      </c>
      <c r="E11" s="221"/>
      <c r="F11" s="34"/>
      <c r="G11" s="34"/>
      <c r="H11" s="34"/>
      <c r="I11" s="34"/>
      <c r="J11" s="187"/>
      <c r="K11" s="960" t="s">
        <v>496</v>
      </c>
      <c r="L11" s="1019"/>
    </row>
    <row r="12" spans="1:16" s="176" customFormat="1" ht="45.75" customHeight="1" x14ac:dyDescent="0.25">
      <c r="A12" s="424"/>
      <c r="B12" s="224"/>
      <c r="C12" s="380" t="s">
        <v>228</v>
      </c>
      <c r="D12" s="336" t="s">
        <v>233</v>
      </c>
      <c r="E12" s="221"/>
      <c r="F12" s="34"/>
      <c r="G12" s="34"/>
      <c r="H12" s="34"/>
      <c r="I12" s="34"/>
      <c r="J12" s="187"/>
      <c r="K12" s="960" t="s">
        <v>136</v>
      </c>
      <c r="L12" s="1019" t="s">
        <v>520</v>
      </c>
    </row>
    <row r="13" spans="1:16" s="176" customFormat="1" ht="44.25" customHeight="1" x14ac:dyDescent="0.25">
      <c r="A13" s="424"/>
      <c r="B13" s="224"/>
      <c r="C13" s="380" t="s">
        <v>229</v>
      </c>
      <c r="D13" s="336" t="s">
        <v>234</v>
      </c>
      <c r="E13" s="221"/>
      <c r="F13" s="34"/>
      <c r="G13" s="34"/>
      <c r="H13" s="34"/>
      <c r="I13" s="34"/>
      <c r="J13" s="187"/>
      <c r="K13" s="960" t="s">
        <v>136</v>
      </c>
      <c r="L13" s="1019" t="s">
        <v>521</v>
      </c>
    </row>
    <row r="14" spans="1:16" s="176" customFormat="1" ht="42.75" customHeight="1" thickBot="1" x14ac:dyDescent="0.3">
      <c r="A14" s="424"/>
      <c r="B14" s="401"/>
      <c r="C14" s="435" t="s">
        <v>230</v>
      </c>
      <c r="D14" s="436" t="s">
        <v>235</v>
      </c>
      <c r="E14" s="97"/>
      <c r="F14" s="437"/>
      <c r="G14" s="437"/>
      <c r="H14" s="437"/>
      <c r="I14" s="437"/>
      <c r="J14" s="191"/>
      <c r="K14" s="960" t="s">
        <v>136</v>
      </c>
      <c r="L14" s="1019" t="s">
        <v>522</v>
      </c>
    </row>
    <row r="15" spans="1:16" ht="15.75" x14ac:dyDescent="0.25">
      <c r="A15" s="205" t="s">
        <v>201</v>
      </c>
      <c r="B15" s="206"/>
      <c r="C15" s="206"/>
      <c r="D15" s="206"/>
      <c r="E15" s="206"/>
      <c r="F15" s="206"/>
      <c r="G15" s="206"/>
      <c r="H15" s="206"/>
      <c r="I15" s="206"/>
      <c r="J15" s="210"/>
      <c r="K15" s="206"/>
      <c r="L15" s="210"/>
    </row>
    <row r="16" spans="1:16" ht="29.25" customHeight="1" thickBot="1" x14ac:dyDescent="0.3">
      <c r="A16" s="271" t="s">
        <v>0</v>
      </c>
      <c r="B16" s="266" t="s">
        <v>1</v>
      </c>
      <c r="C16" s="272" t="s">
        <v>14</v>
      </c>
      <c r="D16" s="266" t="s">
        <v>54</v>
      </c>
      <c r="E16" s="278" t="s">
        <v>30</v>
      </c>
      <c r="F16" s="278" t="s">
        <v>2</v>
      </c>
      <c r="G16" s="272" t="s">
        <v>3</v>
      </c>
      <c r="H16" s="266" t="s">
        <v>4</v>
      </c>
      <c r="I16" s="272" t="s">
        <v>59</v>
      </c>
      <c r="J16" s="273" t="s">
        <v>31</v>
      </c>
      <c r="K16" s="266" t="s">
        <v>18</v>
      </c>
      <c r="L16" s="273" t="s">
        <v>495</v>
      </c>
    </row>
    <row r="17" spans="1:12" ht="30.75" customHeight="1" x14ac:dyDescent="0.25">
      <c r="A17" s="1049" t="s">
        <v>203</v>
      </c>
      <c r="B17" s="1053" t="s">
        <v>10</v>
      </c>
      <c r="C17" s="462" t="s">
        <v>19</v>
      </c>
      <c r="D17" s="103" t="s">
        <v>245</v>
      </c>
      <c r="E17" s="619">
        <v>0</v>
      </c>
      <c r="F17" s="471">
        <v>0</v>
      </c>
      <c r="G17" s="613">
        <f>9*21.42</f>
        <v>192.78000000000003</v>
      </c>
      <c r="H17" s="621">
        <f>G17</f>
        <v>192.78000000000003</v>
      </c>
      <c r="I17" s="622">
        <v>100</v>
      </c>
      <c r="J17" s="600">
        <f>$H$17</f>
        <v>192.78000000000003</v>
      </c>
      <c r="K17" s="960" t="s">
        <v>136</v>
      </c>
      <c r="L17" s="1039" t="s">
        <v>548</v>
      </c>
    </row>
    <row r="18" spans="1:12" ht="30" customHeight="1" thickBot="1" x14ac:dyDescent="0.3">
      <c r="A18" s="1052"/>
      <c r="B18" s="1054"/>
      <c r="C18" s="463" t="s">
        <v>11</v>
      </c>
      <c r="D18" s="196" t="s">
        <v>246</v>
      </c>
      <c r="E18" s="248"/>
      <c r="F18" s="200"/>
      <c r="G18" s="190"/>
      <c r="H18" s="249"/>
      <c r="I18" s="190"/>
      <c r="J18" s="437"/>
      <c r="K18" s="961" t="s">
        <v>136</v>
      </c>
      <c r="L18" s="1040"/>
    </row>
    <row r="19" spans="1:12" ht="19.5" customHeight="1" thickBot="1" x14ac:dyDescent="0.3">
      <c r="A19" s="178"/>
      <c r="B19" s="219"/>
      <c r="C19" s="176"/>
      <c r="D19" s="176"/>
      <c r="E19" s="182"/>
      <c r="F19" s="579" t="s">
        <v>432</v>
      </c>
      <c r="G19" s="176"/>
      <c r="H19" s="176"/>
      <c r="I19" s="176"/>
      <c r="J19" s="176"/>
    </row>
    <row r="20" spans="1:12" x14ac:dyDescent="0.25">
      <c r="A20" s="178"/>
      <c r="B20" s="1045" t="s">
        <v>12</v>
      </c>
      <c r="C20" s="438" t="s">
        <v>24</v>
      </c>
      <c r="D20" s="439">
        <v>0</v>
      </c>
      <c r="E20" s="182"/>
      <c r="F20" s="878">
        <v>0</v>
      </c>
      <c r="G20" s="176"/>
      <c r="H20" s="176"/>
      <c r="I20" s="176"/>
      <c r="J20" s="176"/>
      <c r="K20" s="176"/>
      <c r="L20" s="176"/>
    </row>
    <row r="21" spans="1:12" x14ac:dyDescent="0.25">
      <c r="A21" s="178"/>
      <c r="B21" s="1046"/>
      <c r="C21" s="440" t="s">
        <v>20</v>
      </c>
      <c r="D21" s="441">
        <v>14018.653169999998</v>
      </c>
      <c r="E21" s="182"/>
      <c r="F21" s="846">
        <v>13747</v>
      </c>
      <c r="G21" s="215"/>
      <c r="H21" s="215" t="s">
        <v>270</v>
      </c>
      <c r="I21" s="176"/>
      <c r="J21" s="176"/>
      <c r="L21" s="176"/>
    </row>
    <row r="22" spans="1:12" s="176" customFormat="1" x14ac:dyDescent="0.25">
      <c r="A22" s="178"/>
      <c r="B22" s="1046"/>
      <c r="C22" s="440" t="s">
        <v>13</v>
      </c>
      <c r="D22" s="442">
        <v>0</v>
      </c>
      <c r="E22" s="182"/>
      <c r="F22" s="846">
        <v>0</v>
      </c>
    </row>
    <row r="23" spans="1:12" ht="15.75" thickBot="1" x14ac:dyDescent="0.3">
      <c r="A23" s="178"/>
      <c r="B23" s="1046"/>
      <c r="C23" s="443" t="s">
        <v>21</v>
      </c>
      <c r="D23" s="444">
        <v>37532.2071</v>
      </c>
      <c r="E23" s="183"/>
      <c r="F23" s="879">
        <v>36794</v>
      </c>
      <c r="G23" s="176"/>
      <c r="H23" s="176"/>
      <c r="I23" s="176"/>
      <c r="J23" s="176"/>
    </row>
    <row r="24" spans="1:12" x14ac:dyDescent="0.25">
      <c r="A24" s="178"/>
      <c r="B24" s="1047"/>
      <c r="C24" s="238" t="s">
        <v>25</v>
      </c>
      <c r="D24" s="256">
        <v>37339.427100000001</v>
      </c>
      <c r="E24" s="183"/>
      <c r="F24" s="887">
        <v>36597</v>
      </c>
      <c r="G24" s="176"/>
      <c r="H24" s="176"/>
      <c r="I24" s="176"/>
      <c r="J24" s="176"/>
    </row>
    <row r="25" spans="1:12" ht="15.75" thickBot="1" x14ac:dyDescent="0.3">
      <c r="A25" s="178"/>
      <c r="B25" s="1047"/>
      <c r="C25" s="239" t="s">
        <v>26</v>
      </c>
      <c r="D25" s="257">
        <v>192.78000000000003</v>
      </c>
      <c r="E25" s="183"/>
      <c r="F25" s="888">
        <v>197</v>
      </c>
      <c r="G25" s="176"/>
      <c r="H25" s="176"/>
      <c r="I25" s="176"/>
      <c r="J25" s="176"/>
    </row>
    <row r="26" spans="1:12" ht="15.75" thickBot="1" x14ac:dyDescent="0.3">
      <c r="A26" s="178"/>
      <c r="B26" s="1048"/>
      <c r="C26" s="736" t="s">
        <v>23</v>
      </c>
      <c r="D26" s="737">
        <v>51550.860269999997</v>
      </c>
      <c r="E26" s="183"/>
      <c r="F26" s="874">
        <v>50541</v>
      </c>
      <c r="G26" s="176"/>
      <c r="H26" s="176"/>
      <c r="I26" s="176"/>
      <c r="J26" s="176"/>
    </row>
  </sheetData>
  <mergeCells count="9">
    <mergeCell ref="L17:L18"/>
    <mergeCell ref="K5:K6"/>
    <mergeCell ref="B20:B26"/>
    <mergeCell ref="A10:A11"/>
    <mergeCell ref="B10:B11"/>
    <mergeCell ref="B17:B18"/>
    <mergeCell ref="C5:C6"/>
    <mergeCell ref="A5:A6"/>
    <mergeCell ref="A17:A18"/>
  </mergeCells>
  <conditionalFormatting sqref="K5">
    <cfRule type="cellIs" dxfId="11" priority="9" operator="equal">
      <formula>$P$7</formula>
    </cfRule>
    <cfRule type="cellIs" dxfId="10" priority="10" operator="equal">
      <formula>$P$6</formula>
    </cfRule>
    <cfRule type="cellIs" dxfId="9" priority="11" operator="equal">
      <formula>$P$5</formula>
    </cfRule>
    <cfRule type="cellIs" dxfId="8" priority="12" operator="notEqual">
      <formula>$P$4</formula>
    </cfRule>
  </conditionalFormatting>
  <conditionalFormatting sqref="K10:K14">
    <cfRule type="cellIs" dxfId="7" priority="5" operator="equal">
      <formula>$P$7</formula>
    </cfRule>
    <cfRule type="cellIs" dxfId="6" priority="6" operator="equal">
      <formula>$P$6</formula>
    </cfRule>
    <cfRule type="cellIs" dxfId="5" priority="7" operator="equal">
      <formula>$P$5</formula>
    </cfRule>
    <cfRule type="cellIs" dxfId="4" priority="8" operator="notEqual">
      <formula>$P$4</formula>
    </cfRule>
  </conditionalFormatting>
  <conditionalFormatting sqref="K17:K18">
    <cfRule type="cellIs" dxfId="3" priority="1" operator="equal">
      <formula>$P$7</formula>
    </cfRule>
    <cfRule type="cellIs" dxfId="2" priority="2" operator="equal">
      <formula>$P$6</formula>
    </cfRule>
    <cfRule type="cellIs" dxfId="1" priority="3" operator="equal">
      <formula>$P$5</formula>
    </cfRule>
    <cfRule type="cellIs" dxfId="0" priority="4" operator="notEqual">
      <formula>$P$4</formula>
    </cfRule>
  </conditionalFormatting>
  <dataValidations count="1">
    <dataValidation type="list" allowBlank="1" showInputMessage="1" showErrorMessage="1" sqref="K5 K10:K14 K17:K18" xr:uid="{D6AA5498-2B57-434E-BBB6-D94A6FFF26CE}">
      <formula1>$P$4:$P$7</formula1>
    </dataValidation>
  </dataValidations>
  <pageMargins left="0.7" right="0.7" top="0.75" bottom="0.75" header="0.3" footer="0.3"/>
  <pageSetup paperSize="9" scale="70" fitToWidth="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R108"/>
  <sheetViews>
    <sheetView topLeftCell="A34" zoomScaleNormal="100" workbookViewId="0">
      <selection activeCell="M27" sqref="M27"/>
    </sheetView>
  </sheetViews>
  <sheetFormatPr defaultRowHeight="15" x14ac:dyDescent="0.25"/>
  <cols>
    <col min="1" max="1" width="12.5703125" customWidth="1"/>
    <col min="2" max="2" width="42.7109375" customWidth="1"/>
    <col min="3" max="3" width="42.42578125" customWidth="1"/>
    <col min="4" max="4" width="45.140625" customWidth="1"/>
    <col min="5" max="5" width="1.140625" hidden="1" customWidth="1"/>
    <col min="6" max="6" width="5.5703125" hidden="1" customWidth="1"/>
    <col min="7" max="7" width="7.28515625" hidden="1" customWidth="1"/>
    <col min="8" max="8" width="9.85546875" hidden="1" customWidth="1"/>
    <col min="9" max="9" width="7.7109375" hidden="1" customWidth="1"/>
    <col min="10" max="10" width="5.7109375" hidden="1" customWidth="1"/>
    <col min="11" max="11" width="8.7109375" hidden="1" customWidth="1"/>
    <col min="12" max="12" width="8.5703125" customWidth="1"/>
    <col min="13" max="13" width="46" customWidth="1"/>
    <col min="17" max="18" width="0" hidden="1" customWidth="1"/>
  </cols>
  <sheetData>
    <row r="1" spans="1:18" ht="18" x14ac:dyDescent="0.25">
      <c r="A1" s="735" t="s">
        <v>550</v>
      </c>
      <c r="C1" s="721"/>
      <c r="J1" s="4"/>
      <c r="K1" s="416" t="s">
        <v>331</v>
      </c>
      <c r="M1" s="1014">
        <v>43586</v>
      </c>
    </row>
    <row r="2" spans="1:18" ht="8.25" customHeight="1" thickBot="1" x14ac:dyDescent="0.3"/>
    <row r="3" spans="1:18" ht="16.5" customHeight="1" thickBot="1" x14ac:dyDescent="0.3">
      <c r="A3" s="1197" t="s">
        <v>197</v>
      </c>
      <c r="B3" s="693"/>
      <c r="C3" s="294"/>
      <c r="D3" s="294"/>
      <c r="E3" s="294"/>
      <c r="F3" s="294"/>
      <c r="G3" s="294"/>
      <c r="H3" s="294"/>
      <c r="I3" s="294"/>
      <c r="J3" s="294"/>
      <c r="K3" s="296"/>
      <c r="L3" s="294"/>
      <c r="M3" s="296"/>
      <c r="Q3" s="176"/>
      <c r="R3" s="176"/>
    </row>
    <row r="4" spans="1:18" ht="30" customHeight="1" thickBot="1" x14ac:dyDescent="0.3">
      <c r="A4" s="42" t="s">
        <v>0</v>
      </c>
      <c r="B4" s="694" t="s">
        <v>1</v>
      </c>
      <c r="C4" s="299" t="s">
        <v>14</v>
      </c>
      <c r="D4" s="298" t="s">
        <v>58</v>
      </c>
      <c r="E4" s="298" t="s">
        <v>18</v>
      </c>
      <c r="F4" s="298" t="s">
        <v>30</v>
      </c>
      <c r="G4" s="298" t="s">
        <v>2</v>
      </c>
      <c r="H4" s="299" t="s">
        <v>3</v>
      </c>
      <c r="I4" s="298" t="s">
        <v>4</v>
      </c>
      <c r="J4" s="299" t="s">
        <v>5</v>
      </c>
      <c r="K4" s="301" t="s">
        <v>31</v>
      </c>
      <c r="L4" s="298" t="s">
        <v>18</v>
      </c>
      <c r="M4" s="301" t="s">
        <v>495</v>
      </c>
      <c r="Q4" s="945"/>
      <c r="R4" s="176" t="s">
        <v>136</v>
      </c>
    </row>
    <row r="5" spans="1:18" ht="42" customHeight="1" x14ac:dyDescent="0.25">
      <c r="A5" s="1041" t="s">
        <v>243</v>
      </c>
      <c r="B5" s="119" t="s">
        <v>194</v>
      </c>
      <c r="C5" s="506" t="s">
        <v>98</v>
      </c>
      <c r="D5" s="478" t="s">
        <v>388</v>
      </c>
      <c r="E5" s="124"/>
      <c r="F5" s="763">
        <v>8.2379999999999995E-2</v>
      </c>
      <c r="G5" s="65">
        <f>F5*(153939*1.025)</f>
        <v>12998.532190499996</v>
      </c>
      <c r="H5" s="65">
        <f>2020+2500</f>
        <v>4520</v>
      </c>
      <c r="I5" s="577">
        <f>H5+G5</f>
        <v>17518.532190499995</v>
      </c>
      <c r="J5" s="62">
        <v>95</v>
      </c>
      <c r="K5" s="63">
        <f>($I$5*$J$5)/100</f>
        <v>16642.605580974996</v>
      </c>
      <c r="L5" s="960" t="s">
        <v>136</v>
      </c>
      <c r="M5" s="941" t="s">
        <v>609</v>
      </c>
      <c r="Q5" s="946"/>
      <c r="R5" s="176" t="s">
        <v>496</v>
      </c>
    </row>
    <row r="6" spans="1:18" ht="40.5" customHeight="1" x14ac:dyDescent="0.25">
      <c r="A6" s="1042"/>
      <c r="B6" s="110" t="s">
        <v>99</v>
      </c>
      <c r="C6" s="110" t="s">
        <v>100</v>
      </c>
      <c r="D6" s="447" t="s">
        <v>417</v>
      </c>
      <c r="E6" s="124"/>
      <c r="F6" s="124"/>
      <c r="G6" s="127"/>
      <c r="H6" s="127"/>
      <c r="I6" s="127"/>
      <c r="J6" s="124"/>
      <c r="K6" s="128"/>
      <c r="L6" s="960" t="s">
        <v>136</v>
      </c>
      <c r="M6" s="1017" t="s">
        <v>610</v>
      </c>
      <c r="Q6" s="947"/>
      <c r="R6" s="176" t="s">
        <v>497</v>
      </c>
    </row>
    <row r="7" spans="1:18" ht="28.5" customHeight="1" x14ac:dyDescent="0.25">
      <c r="A7" s="126"/>
      <c r="B7" s="142" t="s">
        <v>163</v>
      </c>
      <c r="C7" s="142" t="s">
        <v>101</v>
      </c>
      <c r="D7" s="142" t="s">
        <v>113</v>
      </c>
      <c r="E7" s="124"/>
      <c r="F7" s="124"/>
      <c r="G7" s="127"/>
      <c r="H7" s="127"/>
      <c r="I7" s="127"/>
      <c r="J7" s="124"/>
      <c r="K7" s="128"/>
      <c r="L7" s="960" t="s">
        <v>136</v>
      </c>
      <c r="M7" s="1018" t="s">
        <v>611</v>
      </c>
      <c r="Q7" s="948"/>
      <c r="R7" s="176" t="s">
        <v>498</v>
      </c>
    </row>
    <row r="8" spans="1:18" ht="41.25" customHeight="1" x14ac:dyDescent="0.25">
      <c r="A8" s="126"/>
      <c r="B8" s="110" t="s">
        <v>102</v>
      </c>
      <c r="C8" s="110" t="s">
        <v>103</v>
      </c>
      <c r="D8" s="447" t="s">
        <v>418</v>
      </c>
      <c r="E8" s="124"/>
      <c r="F8" s="124"/>
      <c r="G8" s="127"/>
      <c r="H8" s="127"/>
      <c r="I8" s="127"/>
      <c r="J8" s="124"/>
      <c r="K8" s="235"/>
      <c r="L8" s="1062" t="s">
        <v>136</v>
      </c>
      <c r="M8" s="1064" t="s">
        <v>612</v>
      </c>
    </row>
    <row r="9" spans="1:18" s="176" customFormat="1" x14ac:dyDescent="0.25">
      <c r="A9" s="126"/>
      <c r="B9" s="142" t="s">
        <v>104</v>
      </c>
      <c r="C9" s="142" t="s">
        <v>104</v>
      </c>
      <c r="D9" s="704"/>
      <c r="E9" s="124"/>
      <c r="F9" s="124"/>
      <c r="G9" s="127"/>
      <c r="H9" s="127"/>
      <c r="I9" s="127"/>
      <c r="J9" s="124"/>
      <c r="K9" s="235"/>
      <c r="L9" s="1063"/>
      <c r="M9" s="1065"/>
    </row>
    <row r="10" spans="1:18" ht="42" customHeight="1" x14ac:dyDescent="0.25">
      <c r="A10" s="1055" t="s">
        <v>213</v>
      </c>
      <c r="B10" s="91" t="s">
        <v>83</v>
      </c>
      <c r="C10" s="111" t="s">
        <v>105</v>
      </c>
      <c r="D10" s="448" t="s">
        <v>681</v>
      </c>
      <c r="E10" s="124"/>
      <c r="F10" s="591">
        <v>0.1825</v>
      </c>
      <c r="G10" s="151">
        <f>F10*(153939*1.025)</f>
        <v>28796.214187499994</v>
      </c>
      <c r="H10" s="152">
        <v>2599</v>
      </c>
      <c r="I10" s="115">
        <f>G10+H10</f>
        <v>31395.214187499994</v>
      </c>
      <c r="J10" s="153">
        <v>95</v>
      </c>
      <c r="K10" s="154">
        <f>($I$10*$J$10)/100</f>
        <v>29825.453478124993</v>
      </c>
      <c r="L10" s="960" t="s">
        <v>136</v>
      </c>
      <c r="M10" s="942" t="s">
        <v>601</v>
      </c>
    </row>
    <row r="11" spans="1:18" ht="41.25" customHeight="1" x14ac:dyDescent="0.25">
      <c r="A11" s="1050"/>
      <c r="B11" s="91" t="s">
        <v>678</v>
      </c>
      <c r="C11" s="111" t="s">
        <v>275</v>
      </c>
      <c r="D11" s="448" t="s">
        <v>295</v>
      </c>
      <c r="E11" s="124"/>
      <c r="F11" s="124"/>
      <c r="G11" s="127"/>
      <c r="H11" s="127"/>
      <c r="I11" s="127"/>
      <c r="J11" s="124"/>
      <c r="K11" s="128"/>
      <c r="L11" s="960" t="s">
        <v>136</v>
      </c>
      <c r="M11" s="942" t="s">
        <v>613</v>
      </c>
    </row>
    <row r="12" spans="1:18" ht="15.75" customHeight="1" thickBot="1" x14ac:dyDescent="0.3">
      <c r="A12" s="10"/>
      <c r="B12" s="91" t="s">
        <v>109</v>
      </c>
      <c r="C12" s="91" t="s">
        <v>108</v>
      </c>
      <c r="D12" s="713" t="s">
        <v>312</v>
      </c>
      <c r="E12" s="124"/>
      <c r="F12" s="124"/>
      <c r="G12" s="127"/>
      <c r="H12" s="127"/>
      <c r="I12" s="127"/>
      <c r="J12" s="124"/>
      <c r="K12" s="128"/>
      <c r="L12" s="960" t="s">
        <v>136</v>
      </c>
      <c r="M12" s="943" t="s">
        <v>603</v>
      </c>
    </row>
    <row r="13" spans="1:18" ht="18.75" customHeight="1" x14ac:dyDescent="0.25">
      <c r="A13" s="781" t="s">
        <v>198</v>
      </c>
      <c r="B13" s="208"/>
      <c r="C13" s="208"/>
      <c r="D13" s="208"/>
      <c r="E13" s="208"/>
      <c r="F13" s="208"/>
      <c r="G13" s="208"/>
      <c r="H13" s="208"/>
      <c r="I13" s="208"/>
      <c r="J13" s="208"/>
      <c r="K13" s="211"/>
      <c r="L13" s="691"/>
      <c r="M13" s="692"/>
    </row>
    <row r="14" spans="1:18" ht="31.5" customHeight="1" thickBot="1" x14ac:dyDescent="0.3">
      <c r="A14" s="274" t="s">
        <v>0</v>
      </c>
      <c r="B14" s="275" t="s">
        <v>1</v>
      </c>
      <c r="C14" s="276" t="s">
        <v>16</v>
      </c>
      <c r="D14" s="275" t="s">
        <v>58</v>
      </c>
      <c r="E14" s="275" t="s">
        <v>18</v>
      </c>
      <c r="F14" s="275" t="s">
        <v>30</v>
      </c>
      <c r="G14" s="275" t="s">
        <v>2</v>
      </c>
      <c r="H14" s="276" t="s">
        <v>3</v>
      </c>
      <c r="I14" s="275" t="s">
        <v>4</v>
      </c>
      <c r="J14" s="647" t="s">
        <v>5</v>
      </c>
      <c r="K14" s="277" t="s">
        <v>31</v>
      </c>
      <c r="L14" s="275" t="s">
        <v>18</v>
      </c>
      <c r="M14" s="277" t="s">
        <v>495</v>
      </c>
    </row>
    <row r="15" spans="1:18" ht="103.5" customHeight="1" x14ac:dyDescent="0.25">
      <c r="A15" s="10" t="s">
        <v>204</v>
      </c>
      <c r="B15" s="53" t="s">
        <v>62</v>
      </c>
      <c r="C15" s="3" t="s">
        <v>63</v>
      </c>
      <c r="D15" s="173" t="s">
        <v>120</v>
      </c>
      <c r="E15" s="113"/>
      <c r="F15" s="795">
        <v>0.13464999999999999</v>
      </c>
      <c r="G15" s="1077">
        <f>F15*(176702*1.025)</f>
        <v>24387.747407499995</v>
      </c>
      <c r="H15" s="1079" t="s">
        <v>22</v>
      </c>
      <c r="I15" s="1077">
        <f>G15</f>
        <v>24387.747407499995</v>
      </c>
      <c r="J15" s="1079">
        <v>100</v>
      </c>
      <c r="K15" s="1081">
        <f>$I$15</f>
        <v>24387.747407499995</v>
      </c>
      <c r="L15" s="1066" t="s">
        <v>136</v>
      </c>
      <c r="M15" s="938"/>
    </row>
    <row r="16" spans="1:18" ht="30" customHeight="1" thickBot="1" x14ac:dyDescent="0.3">
      <c r="A16" s="10"/>
      <c r="B16" s="53" t="s">
        <v>64</v>
      </c>
      <c r="C16" s="3" t="s">
        <v>65</v>
      </c>
      <c r="D16" s="402"/>
      <c r="E16" s="113"/>
      <c r="F16" s="203"/>
      <c r="G16" s="1078"/>
      <c r="H16" s="1080"/>
      <c r="I16" s="1078"/>
      <c r="J16" s="1080"/>
      <c r="K16" s="1082"/>
      <c r="L16" s="1067"/>
      <c r="M16" s="938"/>
    </row>
    <row r="17" spans="1:13" s="176" customFormat="1" ht="17.25" customHeight="1" x14ac:dyDescent="0.25">
      <c r="A17" s="624" t="s">
        <v>209</v>
      </c>
      <c r="B17" s="625"/>
      <c r="C17" s="625"/>
      <c r="D17" s="625"/>
      <c r="E17" s="625"/>
      <c r="F17" s="625"/>
      <c r="G17" s="625"/>
      <c r="H17" s="625"/>
      <c r="I17" s="625"/>
      <c r="J17" s="625"/>
      <c r="K17" s="626"/>
      <c r="L17" s="625"/>
      <c r="M17" s="626"/>
    </row>
    <row r="18" spans="1:13" s="176" customFormat="1" ht="30.75" customHeight="1" thickBot="1" x14ac:dyDescent="0.3">
      <c r="A18" s="627" t="s">
        <v>0</v>
      </c>
      <c r="B18" s="628" t="s">
        <v>1</v>
      </c>
      <c r="C18" s="630" t="s">
        <v>14</v>
      </c>
      <c r="D18" s="628" t="s">
        <v>54</v>
      </c>
      <c r="E18" s="628" t="s">
        <v>18</v>
      </c>
      <c r="F18" s="628" t="s">
        <v>30</v>
      </c>
      <c r="G18" s="628" t="s">
        <v>2</v>
      </c>
      <c r="H18" s="628" t="s">
        <v>3</v>
      </c>
      <c r="I18" s="628" t="s">
        <v>4</v>
      </c>
      <c r="J18" s="631" t="s">
        <v>55</v>
      </c>
      <c r="K18" s="629" t="s">
        <v>15</v>
      </c>
      <c r="L18" s="628" t="s">
        <v>18</v>
      </c>
      <c r="M18" s="629" t="s">
        <v>495</v>
      </c>
    </row>
    <row r="19" spans="1:13" s="176" customFormat="1" ht="30.75" customHeight="1" x14ac:dyDescent="0.25">
      <c r="A19" s="1049" t="s">
        <v>214</v>
      </c>
      <c r="B19" s="1075" t="s">
        <v>85</v>
      </c>
      <c r="C19" s="139" t="s">
        <v>75</v>
      </c>
      <c r="D19" s="478" t="s">
        <v>419</v>
      </c>
      <c r="E19" s="1200"/>
      <c r="F19" s="758">
        <v>0.49995000000000001</v>
      </c>
      <c r="G19" s="1029">
        <f>F19*(153939*1.025)</f>
        <v>78885.848126249984</v>
      </c>
      <c r="H19" s="1029">
        <v>145580</v>
      </c>
      <c r="I19" s="1026">
        <f>G19+H19</f>
        <v>224465.84812624997</v>
      </c>
      <c r="J19" s="1028">
        <v>95</v>
      </c>
      <c r="K19" s="1201">
        <f>I19*J19/100</f>
        <v>213242.55571993746</v>
      </c>
      <c r="L19" s="964" t="s">
        <v>136</v>
      </c>
      <c r="M19" s="1009" t="s">
        <v>604</v>
      </c>
    </row>
    <row r="20" spans="1:13" s="176" customFormat="1" ht="27" customHeight="1" x14ac:dyDescent="0.25">
      <c r="A20" s="1050"/>
      <c r="B20" s="1076"/>
      <c r="C20" s="140"/>
      <c r="D20" s="448" t="s">
        <v>420</v>
      </c>
      <c r="E20" s="233"/>
      <c r="F20" s="233"/>
      <c r="G20" s="577"/>
      <c r="H20" s="62"/>
      <c r="I20" s="65"/>
      <c r="J20" s="578"/>
      <c r="K20" s="121"/>
      <c r="L20" s="960" t="s">
        <v>136</v>
      </c>
      <c r="M20" s="1008" t="s">
        <v>614</v>
      </c>
    </row>
    <row r="21" spans="1:13" s="176" customFormat="1" ht="30" customHeight="1" x14ac:dyDescent="0.25">
      <c r="A21" s="1050"/>
      <c r="B21" s="141" t="s">
        <v>76</v>
      </c>
      <c r="C21" s="141" t="s">
        <v>77</v>
      </c>
      <c r="D21" s="1021" t="s">
        <v>421</v>
      </c>
      <c r="E21" s="233"/>
      <c r="F21" s="233"/>
      <c r="G21" s="577"/>
      <c r="H21" s="62"/>
      <c r="I21" s="65"/>
      <c r="J21" s="578"/>
      <c r="K21" s="121"/>
      <c r="L21" s="960" t="s">
        <v>136</v>
      </c>
      <c r="M21" s="1005" t="s">
        <v>620</v>
      </c>
    </row>
    <row r="22" spans="1:13" s="176" customFormat="1" ht="27.75" customHeight="1" x14ac:dyDescent="0.25">
      <c r="A22" s="1050"/>
      <c r="B22" s="129" t="s">
        <v>78</v>
      </c>
      <c r="C22" s="129" t="s">
        <v>79</v>
      </c>
      <c r="D22" s="448" t="s">
        <v>370</v>
      </c>
      <c r="E22" s="233"/>
      <c r="F22" s="233"/>
      <c r="G22" s="577"/>
      <c r="H22" s="62"/>
      <c r="I22" s="65"/>
      <c r="J22" s="578"/>
      <c r="K22" s="121"/>
      <c r="L22" s="960" t="s">
        <v>136</v>
      </c>
      <c r="M22" s="943" t="s">
        <v>587</v>
      </c>
    </row>
    <row r="23" spans="1:13" s="176" customFormat="1" ht="27" customHeight="1" x14ac:dyDescent="0.25">
      <c r="A23" s="1050"/>
      <c r="B23" s="129"/>
      <c r="C23" s="129" t="s">
        <v>80</v>
      </c>
      <c r="D23" s="448" t="s">
        <v>369</v>
      </c>
      <c r="E23" s="233"/>
      <c r="F23" s="233"/>
      <c r="G23" s="577"/>
      <c r="H23" s="62"/>
      <c r="I23" s="65"/>
      <c r="J23" s="578"/>
      <c r="K23" s="121"/>
      <c r="L23" s="960" t="s">
        <v>136</v>
      </c>
      <c r="M23" s="943" t="s">
        <v>606</v>
      </c>
    </row>
    <row r="24" spans="1:13" s="176" customFormat="1" ht="18.75" customHeight="1" x14ac:dyDescent="0.25">
      <c r="A24" s="1050"/>
      <c r="B24" s="129"/>
      <c r="C24" s="129" t="s">
        <v>81</v>
      </c>
      <c r="D24" s="448" t="s">
        <v>368</v>
      </c>
      <c r="E24" s="233"/>
      <c r="F24" s="233"/>
      <c r="G24" s="577"/>
      <c r="H24" s="62"/>
      <c r="I24" s="65"/>
      <c r="J24" s="578"/>
      <c r="K24" s="121"/>
      <c r="L24" s="960" t="s">
        <v>136</v>
      </c>
      <c r="M24" s="943" t="s">
        <v>682</v>
      </c>
    </row>
    <row r="25" spans="1:13" s="176" customFormat="1" ht="43.5" customHeight="1" x14ac:dyDescent="0.25">
      <c r="A25" s="1071"/>
      <c r="B25" s="143" t="s">
        <v>82</v>
      </c>
      <c r="C25" s="144" t="s">
        <v>674</v>
      </c>
      <c r="D25" s="561" t="s">
        <v>311</v>
      </c>
      <c r="E25" s="155"/>
      <c r="F25" s="155"/>
      <c r="G25" s="156"/>
      <c r="H25" s="157"/>
      <c r="I25" s="158" t="s">
        <v>196</v>
      </c>
      <c r="J25" s="159"/>
      <c r="K25" s="160"/>
      <c r="L25" s="1151" t="s">
        <v>136</v>
      </c>
      <c r="M25" s="1006" t="s">
        <v>608</v>
      </c>
    </row>
    <row r="26" spans="1:13" s="176" customFormat="1" ht="15" customHeight="1" thickBot="1" x14ac:dyDescent="0.3">
      <c r="A26" s="1055" t="s">
        <v>223</v>
      </c>
      <c r="B26" s="144" t="s">
        <v>93</v>
      </c>
      <c r="C26" s="144" t="s">
        <v>94</v>
      </c>
      <c r="D26" s="561" t="s">
        <v>680</v>
      </c>
      <c r="E26" s="161"/>
      <c r="F26" s="161"/>
      <c r="G26" s="115"/>
      <c r="H26" s="153"/>
      <c r="I26" s="152"/>
      <c r="J26" s="115"/>
      <c r="K26" s="162"/>
      <c r="L26" s="960" t="s">
        <v>136</v>
      </c>
      <c r="M26" s="1007" t="s">
        <v>679</v>
      </c>
    </row>
    <row r="27" spans="1:13" s="176" customFormat="1" ht="144" customHeight="1" thickBot="1" x14ac:dyDescent="0.3">
      <c r="A27" s="1052"/>
      <c r="B27" s="1198" t="s">
        <v>193</v>
      </c>
      <c r="C27" s="1198" t="s">
        <v>95</v>
      </c>
      <c r="D27" s="560" t="s">
        <v>371</v>
      </c>
      <c r="E27" s="1160"/>
      <c r="F27" s="1160"/>
      <c r="G27" s="1027"/>
      <c r="H27" s="134"/>
      <c r="I27" s="1030"/>
      <c r="J27" s="1027"/>
      <c r="K27" s="1199"/>
      <c r="L27" s="961" t="s">
        <v>136</v>
      </c>
      <c r="M27" s="1007" t="s">
        <v>677</v>
      </c>
    </row>
    <row r="28" spans="1:13" ht="16.5" customHeight="1" thickBot="1" x14ac:dyDescent="0.3">
      <c r="A28" s="1073" t="s">
        <v>199</v>
      </c>
      <c r="B28" s="1074"/>
      <c r="C28" s="1074"/>
      <c r="D28" s="567"/>
      <c r="E28" s="567"/>
      <c r="F28" s="567"/>
      <c r="G28" s="567"/>
      <c r="H28" s="567"/>
      <c r="I28" s="567"/>
      <c r="J28" s="567"/>
      <c r="K28" s="568"/>
      <c r="L28" s="25"/>
      <c r="M28" s="944"/>
    </row>
    <row r="29" spans="1:13" ht="17.25" customHeight="1" thickBot="1" x14ac:dyDescent="0.3">
      <c r="A29" s="453" t="s">
        <v>206</v>
      </c>
      <c r="B29" s="454"/>
      <c r="C29" s="454"/>
      <c r="D29" s="454"/>
      <c r="E29" s="454"/>
      <c r="F29" s="454"/>
      <c r="G29" s="454"/>
      <c r="H29" s="454"/>
      <c r="I29" s="454"/>
      <c r="J29" s="454"/>
      <c r="K29" s="455"/>
      <c r="L29" s="194"/>
      <c r="M29" s="195"/>
    </row>
    <row r="30" spans="1:13" ht="30" customHeight="1" thickBot="1" x14ac:dyDescent="0.3">
      <c r="A30" s="37" t="s">
        <v>0</v>
      </c>
      <c r="B30" s="38" t="s">
        <v>1</v>
      </c>
      <c r="C30" s="446" t="s">
        <v>14</v>
      </c>
      <c r="D30" s="38" t="s">
        <v>58</v>
      </c>
      <c r="E30" s="40" t="s">
        <v>18</v>
      </c>
      <c r="F30" s="40" t="s">
        <v>30</v>
      </c>
      <c r="G30" s="40" t="s">
        <v>2</v>
      </c>
      <c r="H30" s="39" t="s">
        <v>3</v>
      </c>
      <c r="I30" s="38" t="s">
        <v>4</v>
      </c>
      <c r="J30" s="39" t="s">
        <v>5</v>
      </c>
      <c r="K30" s="41" t="s">
        <v>31</v>
      </c>
      <c r="L30" s="267" t="s">
        <v>18</v>
      </c>
      <c r="M30" s="281" t="s">
        <v>495</v>
      </c>
    </row>
    <row r="31" spans="1:13" ht="28.5" customHeight="1" x14ac:dyDescent="0.25">
      <c r="A31" s="1049" t="s">
        <v>215</v>
      </c>
      <c r="B31" s="445" t="s">
        <v>66</v>
      </c>
      <c r="C31" s="447" t="s">
        <v>68</v>
      </c>
      <c r="D31" s="432" t="s">
        <v>121</v>
      </c>
      <c r="E31" s="95"/>
      <c r="F31" s="768">
        <v>0.21607000000000001</v>
      </c>
      <c r="G31" s="65">
        <f>F31*(128495*1.025)</f>
        <v>28458.012516250001</v>
      </c>
      <c r="H31" s="65">
        <v>14877</v>
      </c>
      <c r="I31" s="577">
        <f>G31+H31</f>
        <v>43335.012516250004</v>
      </c>
      <c r="J31" s="62">
        <v>100</v>
      </c>
      <c r="K31" s="576">
        <f>$I$31</f>
        <v>43335.012516250004</v>
      </c>
      <c r="L31" s="960" t="s">
        <v>136</v>
      </c>
      <c r="M31" s="1068" t="s">
        <v>574</v>
      </c>
    </row>
    <row r="32" spans="1:13" ht="34.5" customHeight="1" x14ac:dyDescent="0.25">
      <c r="A32" s="1050"/>
      <c r="B32" s="1072" t="s">
        <v>67</v>
      </c>
      <c r="C32" s="448" t="s">
        <v>69</v>
      </c>
      <c r="D32" s="432" t="s">
        <v>122</v>
      </c>
      <c r="E32" s="95"/>
      <c r="F32" s="95"/>
      <c r="G32" s="65"/>
      <c r="H32" s="62"/>
      <c r="I32" s="65"/>
      <c r="J32" s="62"/>
      <c r="K32" s="78"/>
      <c r="L32" s="960" t="s">
        <v>136</v>
      </c>
      <c r="M32" s="1069"/>
    </row>
    <row r="33" spans="1:13" ht="33.75" customHeight="1" x14ac:dyDescent="0.25">
      <c r="A33" s="1050"/>
      <c r="B33" s="1072"/>
      <c r="C33" s="448" t="s">
        <v>70</v>
      </c>
      <c r="D33" s="432" t="s">
        <v>123</v>
      </c>
      <c r="E33" s="95"/>
      <c r="F33" s="95"/>
      <c r="G33" s="65"/>
      <c r="H33" s="62"/>
      <c r="I33" s="65"/>
      <c r="J33" s="62"/>
      <c r="K33" s="78"/>
      <c r="L33" s="960" t="s">
        <v>136</v>
      </c>
      <c r="M33" s="1069"/>
    </row>
    <row r="34" spans="1:13" ht="42.75" customHeight="1" x14ac:dyDescent="0.25">
      <c r="A34" s="10"/>
      <c r="B34" s="1072"/>
      <c r="C34" s="448" t="s">
        <v>71</v>
      </c>
      <c r="D34" s="432" t="s">
        <v>124</v>
      </c>
      <c r="E34" s="95"/>
      <c r="F34" s="95"/>
      <c r="G34" s="65"/>
      <c r="H34" s="62"/>
      <c r="I34" s="65"/>
      <c r="J34" s="62"/>
      <c r="K34" s="78"/>
      <c r="L34" s="960" t="s">
        <v>136</v>
      </c>
      <c r="M34" s="1069"/>
    </row>
    <row r="35" spans="1:13" ht="43.5" customHeight="1" x14ac:dyDescent="0.25">
      <c r="A35" s="10"/>
      <c r="B35" s="434"/>
      <c r="C35" s="448" t="s">
        <v>72</v>
      </c>
      <c r="D35" s="432" t="s">
        <v>125</v>
      </c>
      <c r="E35" s="95"/>
      <c r="F35" s="95"/>
      <c r="G35" s="65"/>
      <c r="H35" s="62"/>
      <c r="I35" s="65"/>
      <c r="J35" s="62"/>
      <c r="K35" s="78"/>
      <c r="L35" s="960" t="s">
        <v>136</v>
      </c>
      <c r="M35" s="1069"/>
    </row>
    <row r="36" spans="1:13" ht="16.5" customHeight="1" thickBot="1" x14ac:dyDescent="0.3">
      <c r="A36" s="131"/>
      <c r="B36" s="451"/>
      <c r="C36" s="452" t="s">
        <v>73</v>
      </c>
      <c r="D36" s="174" t="s">
        <v>195</v>
      </c>
      <c r="E36" s="97"/>
      <c r="F36" s="97"/>
      <c r="G36" s="133"/>
      <c r="H36" s="134"/>
      <c r="I36" s="133"/>
      <c r="J36" s="134"/>
      <c r="K36" s="433"/>
      <c r="L36" s="960" t="s">
        <v>136</v>
      </c>
      <c r="M36" s="1070"/>
    </row>
    <row r="37" spans="1:13" ht="21" customHeight="1" x14ac:dyDescent="0.25">
      <c r="A37" s="449" t="s">
        <v>208</v>
      </c>
      <c r="B37" s="98"/>
      <c r="C37" s="98"/>
      <c r="D37" s="98"/>
      <c r="E37" s="98"/>
      <c r="F37" s="98"/>
      <c r="G37" s="98"/>
      <c r="H37" s="98"/>
      <c r="I37" s="98"/>
      <c r="J37" s="98"/>
      <c r="K37" s="450"/>
      <c r="L37" s="206"/>
      <c r="M37" s="210"/>
    </row>
    <row r="38" spans="1:13" ht="30" customHeight="1" thickBot="1" x14ac:dyDescent="0.3">
      <c r="A38" s="99" t="s">
        <v>0</v>
      </c>
      <c r="B38" s="100" t="s">
        <v>1</v>
      </c>
      <c r="C38" s="101" t="s">
        <v>14</v>
      </c>
      <c r="D38" s="100" t="s">
        <v>58</v>
      </c>
      <c r="E38" s="100" t="s">
        <v>18</v>
      </c>
      <c r="F38" s="100" t="s">
        <v>30</v>
      </c>
      <c r="G38" s="100" t="s">
        <v>2</v>
      </c>
      <c r="H38" s="101" t="s">
        <v>3</v>
      </c>
      <c r="I38" s="100" t="s">
        <v>4</v>
      </c>
      <c r="J38" s="101" t="s">
        <v>5</v>
      </c>
      <c r="K38" s="102" t="s">
        <v>31</v>
      </c>
      <c r="L38" s="266" t="s">
        <v>18</v>
      </c>
      <c r="M38" s="273" t="s">
        <v>495</v>
      </c>
    </row>
    <row r="39" spans="1:13" ht="30" customHeight="1" x14ac:dyDescent="0.25">
      <c r="A39" s="1049" t="s">
        <v>203</v>
      </c>
      <c r="B39" s="1053" t="s">
        <v>10</v>
      </c>
      <c r="C39" s="462" t="s">
        <v>19</v>
      </c>
      <c r="D39" s="103" t="s">
        <v>245</v>
      </c>
      <c r="E39" s="135"/>
      <c r="F39" s="86">
        <v>0</v>
      </c>
      <c r="G39" s="61">
        <v>0</v>
      </c>
      <c r="H39" s="87">
        <f>23*21.42</f>
        <v>492.66</v>
      </c>
      <c r="I39" s="87">
        <f>H39</f>
        <v>492.66</v>
      </c>
      <c r="J39" s="87">
        <v>100</v>
      </c>
      <c r="K39" s="88">
        <f>$I$39</f>
        <v>492.66</v>
      </c>
      <c r="L39" s="960" t="s">
        <v>136</v>
      </c>
      <c r="M39" s="1039" t="s">
        <v>548</v>
      </c>
    </row>
    <row r="40" spans="1:13" ht="31.5" customHeight="1" thickBot="1" x14ac:dyDescent="0.3">
      <c r="A40" s="1052"/>
      <c r="B40" s="1054"/>
      <c r="C40" s="463" t="s">
        <v>11</v>
      </c>
      <c r="D40" s="196" t="s">
        <v>246</v>
      </c>
      <c r="E40" s="105"/>
      <c r="F40" s="105"/>
      <c r="G40" s="106"/>
      <c r="H40" s="106"/>
      <c r="I40" s="106"/>
      <c r="J40" s="106"/>
      <c r="K40" s="106"/>
      <c r="L40" s="961" t="s">
        <v>136</v>
      </c>
      <c r="M40" s="1040"/>
    </row>
    <row r="41" spans="1:13" ht="10.5" customHeight="1" thickBot="1" x14ac:dyDescent="0.3">
      <c r="B41" s="22"/>
      <c r="G41" s="877" t="s">
        <v>432</v>
      </c>
    </row>
    <row r="42" spans="1:13" ht="15.75" thickBot="1" x14ac:dyDescent="0.3">
      <c r="B42" s="1045" t="s">
        <v>12</v>
      </c>
      <c r="C42" s="460" t="s">
        <v>24</v>
      </c>
      <c r="D42" s="464">
        <v>46468.059059099993</v>
      </c>
      <c r="G42" s="878">
        <v>43142.35</v>
      </c>
    </row>
    <row r="43" spans="1:13" s="176" customFormat="1" ht="15.75" thickBot="1" x14ac:dyDescent="0.3">
      <c r="B43" s="1046"/>
      <c r="C43" s="459" t="s">
        <v>20</v>
      </c>
      <c r="D43" s="465">
        <v>24387.747407499995</v>
      </c>
      <c r="G43" s="872">
        <v>23660</v>
      </c>
    </row>
    <row r="44" spans="1:13" ht="15.75" thickBot="1" x14ac:dyDescent="0.3">
      <c r="B44" s="1046"/>
      <c r="C44" s="460" t="s">
        <v>13</v>
      </c>
      <c r="D44" s="464">
        <v>213242.55571993746</v>
      </c>
      <c r="G44" s="872">
        <v>208786.25</v>
      </c>
    </row>
    <row r="45" spans="1:13" x14ac:dyDescent="0.25">
      <c r="B45" s="1046"/>
      <c r="C45" s="237" t="s">
        <v>21</v>
      </c>
      <c r="D45" s="470">
        <v>43827.672516250008</v>
      </c>
      <c r="G45" s="846">
        <v>43006.239999999998</v>
      </c>
    </row>
    <row r="46" spans="1:13" hidden="1" x14ac:dyDescent="0.25">
      <c r="B46" s="1047"/>
      <c r="C46" s="238" t="s">
        <v>25</v>
      </c>
      <c r="D46" s="467">
        <v>43335.012516250004</v>
      </c>
      <c r="G46" s="887">
        <v>42503</v>
      </c>
    </row>
    <row r="47" spans="1:13" ht="15.75" hidden="1" thickBot="1" x14ac:dyDescent="0.3">
      <c r="B47" s="1047"/>
      <c r="C47" s="239" t="s">
        <v>26</v>
      </c>
      <c r="D47" s="468">
        <v>492.66</v>
      </c>
      <c r="G47" s="888">
        <v>503.23999999999995</v>
      </c>
    </row>
    <row r="48" spans="1:13" ht="15.75" thickBot="1" x14ac:dyDescent="0.3">
      <c r="B48" s="1048"/>
      <c r="C48" s="461" t="s">
        <v>23</v>
      </c>
      <c r="D48" s="469">
        <v>327926.03470278747</v>
      </c>
      <c r="E48" s="136"/>
      <c r="F48" s="136"/>
      <c r="G48" s="879">
        <v>318594.83999999997</v>
      </c>
    </row>
    <row r="49" spans="2:7" x14ac:dyDescent="0.25">
      <c r="B49" s="33"/>
      <c r="C49" s="458"/>
      <c r="D49" s="458"/>
      <c r="E49" s="54" t="s">
        <v>74</v>
      </c>
      <c r="F49" s="54"/>
      <c r="G49" s="107">
        <v>24.19</v>
      </c>
    </row>
    <row r="50" spans="2:7" x14ac:dyDescent="0.25">
      <c r="B50" s="33"/>
      <c r="C50" s="33"/>
      <c r="D50" s="33"/>
    </row>
    <row r="51" spans="2:7" x14ac:dyDescent="0.25">
      <c r="C51" s="33"/>
      <c r="D51" s="33"/>
      <c r="E51" s="47">
        <v>23</v>
      </c>
      <c r="F51" s="47"/>
    </row>
    <row r="52" spans="2:7" x14ac:dyDescent="0.25">
      <c r="E52" s="47">
        <v>460</v>
      </c>
      <c r="F52" s="47"/>
    </row>
    <row r="53" spans="2:7" x14ac:dyDescent="0.25">
      <c r="E53" s="47">
        <v>23</v>
      </c>
      <c r="F53" s="47"/>
    </row>
    <row r="59" spans="2:7" s="178" customFormat="1" x14ac:dyDescent="0.25"/>
    <row r="60" spans="2:7" s="178" customFormat="1" x14ac:dyDescent="0.25"/>
    <row r="61" spans="2:7" s="178" customFormat="1" x14ac:dyDescent="0.25"/>
    <row r="62" spans="2:7" s="178" customFormat="1" x14ac:dyDescent="0.25"/>
    <row r="63" spans="2:7" s="178" customFormat="1" x14ac:dyDescent="0.25"/>
    <row r="64" spans="2:7" s="178" customFormat="1" x14ac:dyDescent="0.25"/>
    <row r="65" s="178" customFormat="1" x14ac:dyDescent="0.25"/>
    <row r="66" s="178" customFormat="1" x14ac:dyDescent="0.25"/>
    <row r="67" s="178" customFormat="1" x14ac:dyDescent="0.25"/>
    <row r="68" s="178" customFormat="1" x14ac:dyDescent="0.25"/>
    <row r="69" s="178" customFormat="1" x14ac:dyDescent="0.25"/>
    <row r="70" s="178" customFormat="1" x14ac:dyDescent="0.25"/>
    <row r="71" s="178" customFormat="1" x14ac:dyDescent="0.25"/>
    <row r="72" s="178" customFormat="1" x14ac:dyDescent="0.25"/>
    <row r="73" s="178" customFormat="1" x14ac:dyDescent="0.25"/>
    <row r="74" s="178" customFormat="1" x14ac:dyDescent="0.25"/>
    <row r="75" s="178" customFormat="1" x14ac:dyDescent="0.25"/>
    <row r="76" s="178" customFormat="1" x14ac:dyDescent="0.25"/>
    <row r="77" s="178" customFormat="1" x14ac:dyDescent="0.25"/>
    <row r="78" s="178" customFormat="1" x14ac:dyDescent="0.25"/>
    <row r="79" s="178" customFormat="1" x14ac:dyDescent="0.25"/>
    <row r="80" s="178" customFormat="1" x14ac:dyDescent="0.25"/>
    <row r="81" s="178" customFormat="1" x14ac:dyDescent="0.25"/>
    <row r="82" s="178" customFormat="1" x14ac:dyDescent="0.25"/>
    <row r="83" s="178" customFormat="1" x14ac:dyDescent="0.25"/>
    <row r="84" s="178" customFormat="1" x14ac:dyDescent="0.25"/>
    <row r="85" s="178" customFormat="1" x14ac:dyDescent="0.25"/>
    <row r="86" s="178" customFormat="1" x14ac:dyDescent="0.25"/>
    <row r="87" s="178" customFormat="1" x14ac:dyDescent="0.25"/>
    <row r="88" s="178" customFormat="1" x14ac:dyDescent="0.25"/>
    <row r="89" s="178" customFormat="1" x14ac:dyDescent="0.25"/>
    <row r="90" s="178" customFormat="1" x14ac:dyDescent="0.25"/>
    <row r="91" s="178" customFormat="1" x14ac:dyDescent="0.25"/>
    <row r="92" s="178" customFormat="1" x14ac:dyDescent="0.25"/>
    <row r="93" s="178" customFormat="1" x14ac:dyDescent="0.25"/>
    <row r="94" s="178" customFormat="1" x14ac:dyDescent="0.25"/>
    <row r="95" s="178" customFormat="1" x14ac:dyDescent="0.25"/>
    <row r="96" s="178" customFormat="1" x14ac:dyDescent="0.25"/>
    <row r="97" s="178" customFormat="1" x14ac:dyDescent="0.25"/>
    <row r="98" s="178" customFormat="1" x14ac:dyDescent="0.25"/>
    <row r="99" s="178" customFormat="1" x14ac:dyDescent="0.25"/>
    <row r="100" s="178" customFormat="1" x14ac:dyDescent="0.25"/>
    <row r="101" s="178" customFormat="1" x14ac:dyDescent="0.25"/>
    <row r="102" s="178" customFormat="1" x14ac:dyDescent="0.25"/>
    <row r="103" s="178" customFormat="1" x14ac:dyDescent="0.25"/>
    <row r="104" s="178" customFormat="1" x14ac:dyDescent="0.25"/>
    <row r="105" s="178" customFormat="1" x14ac:dyDescent="0.25"/>
    <row r="106" s="178" customFormat="1" x14ac:dyDescent="0.25"/>
    <row r="107" s="178" customFormat="1" x14ac:dyDescent="0.25"/>
    <row r="108" s="178" customFormat="1" x14ac:dyDescent="0.25"/>
  </sheetData>
  <mergeCells count="21">
    <mergeCell ref="H15:H16"/>
    <mergeCell ref="I15:I16"/>
    <mergeCell ref="J15:J16"/>
    <mergeCell ref="K15:K16"/>
    <mergeCell ref="M31:M36"/>
    <mergeCell ref="M39:M40"/>
    <mergeCell ref="A5:A6"/>
    <mergeCell ref="A26:A27"/>
    <mergeCell ref="A19:A25"/>
    <mergeCell ref="B42:B48"/>
    <mergeCell ref="B32:B34"/>
    <mergeCell ref="A31:A33"/>
    <mergeCell ref="A39:A40"/>
    <mergeCell ref="B39:B40"/>
    <mergeCell ref="A28:C28"/>
    <mergeCell ref="B19:B20"/>
    <mergeCell ref="A10:A11"/>
    <mergeCell ref="L8:L9"/>
    <mergeCell ref="M8:M9"/>
    <mergeCell ref="L15:L16"/>
    <mergeCell ref="G15:G16"/>
  </mergeCells>
  <conditionalFormatting sqref="L39:L40">
    <cfRule type="cellIs" dxfId="451" priority="17" operator="equal">
      <formula>$P$7</formula>
    </cfRule>
    <cfRule type="cellIs" dxfId="450" priority="18" operator="equal">
      <formula>$P$6</formula>
    </cfRule>
    <cfRule type="cellIs" dxfId="449" priority="19" operator="equal">
      <formula>$P$5</formula>
    </cfRule>
    <cfRule type="cellIs" dxfId="448" priority="20" operator="notEqual">
      <formula>$P$4</formula>
    </cfRule>
  </conditionalFormatting>
  <conditionalFormatting sqref="L31:L36">
    <cfRule type="cellIs" dxfId="447" priority="13" operator="equal">
      <formula>$P$7</formula>
    </cfRule>
    <cfRule type="cellIs" dxfId="446" priority="14" operator="equal">
      <formula>$P$6</formula>
    </cfRule>
    <cfRule type="cellIs" dxfId="445" priority="15" operator="equal">
      <formula>$P$5</formula>
    </cfRule>
    <cfRule type="cellIs" dxfId="444" priority="16" operator="notEqual">
      <formula>$P$4</formula>
    </cfRule>
  </conditionalFormatting>
  <conditionalFormatting sqref="L19:L27">
    <cfRule type="cellIs" dxfId="443" priority="9" operator="equal">
      <formula>$P$7</formula>
    </cfRule>
    <cfRule type="cellIs" dxfId="442" priority="10" operator="equal">
      <formula>$P$6</formula>
    </cfRule>
    <cfRule type="cellIs" dxfId="441" priority="11" operator="equal">
      <formula>$P$5</formula>
    </cfRule>
    <cfRule type="cellIs" dxfId="440" priority="12" operator="notEqual">
      <formula>$P$4</formula>
    </cfRule>
  </conditionalFormatting>
  <conditionalFormatting sqref="L5:L8 L10:L12">
    <cfRule type="cellIs" dxfId="439" priority="1" operator="equal">
      <formula>$P$7</formula>
    </cfRule>
    <cfRule type="cellIs" dxfId="438" priority="2" operator="equal">
      <formula>$P$6</formula>
    </cfRule>
    <cfRule type="cellIs" dxfId="437" priority="3" operator="equal">
      <formula>$P$5</formula>
    </cfRule>
    <cfRule type="cellIs" dxfId="436" priority="4" operator="notEqual">
      <formula>$P$4</formula>
    </cfRule>
  </conditionalFormatting>
  <conditionalFormatting sqref="L15">
    <cfRule type="cellIs" dxfId="435" priority="5" operator="equal">
      <formula>$P$7</formula>
    </cfRule>
    <cfRule type="cellIs" dxfId="434" priority="6" operator="equal">
      <formula>$P$6</formula>
    </cfRule>
    <cfRule type="cellIs" dxfId="433" priority="7" operator="equal">
      <formula>$P$5</formula>
    </cfRule>
    <cfRule type="cellIs" dxfId="432" priority="8" operator="notEqual">
      <formula>$P$4</formula>
    </cfRule>
  </conditionalFormatting>
  <dataValidations count="1">
    <dataValidation type="list" allowBlank="1" showInputMessage="1" showErrorMessage="1" sqref="L39:L40 L31:L36 L19:L27 L10:L12 L5:L8 L15" xr:uid="{A671CDDE-31DD-442F-8E54-6B7273F92B55}">
      <formula1>$P$4:$P$7</formula1>
    </dataValidation>
  </dataValidations>
  <pageMargins left="0.51181102362204722" right="0.51181102362204722" top="0.55118110236220474" bottom="0.55118110236220474" header="0.31496062992125984" footer="0.31496062992125984"/>
  <pageSetup paperSize="8"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AG107"/>
  <sheetViews>
    <sheetView topLeftCell="A7" zoomScaleNormal="100" workbookViewId="0">
      <selection activeCell="M26" sqref="M26"/>
    </sheetView>
  </sheetViews>
  <sheetFormatPr defaultRowHeight="15" x14ac:dyDescent="0.25"/>
  <cols>
    <col min="1" max="1" width="12.28515625" customWidth="1"/>
    <col min="2" max="2" width="45" customWidth="1"/>
    <col min="3" max="3" width="44.85546875" customWidth="1"/>
    <col min="4" max="4" width="46.85546875" customWidth="1"/>
    <col min="5" max="5" width="8.140625" hidden="1" customWidth="1"/>
    <col min="6" max="6" width="7.85546875" hidden="1" customWidth="1"/>
    <col min="7" max="7" width="7.5703125" hidden="1" customWidth="1"/>
    <col min="8" max="8" width="9.85546875" hidden="1" customWidth="1"/>
    <col min="9" max="9" width="8.28515625" hidden="1" customWidth="1"/>
    <col min="10" max="10" width="5.7109375" hidden="1" customWidth="1"/>
    <col min="11" max="11" width="8.28515625" hidden="1" customWidth="1"/>
    <col min="12" max="12" width="10.140625" style="176" customWidth="1"/>
    <col min="13" max="13" width="38.28515625" style="176" customWidth="1"/>
    <col min="17" max="18" width="0" hidden="1" customWidth="1"/>
  </cols>
  <sheetData>
    <row r="1" spans="1:18" ht="18" x14ac:dyDescent="0.25">
      <c r="A1" s="735" t="s">
        <v>551</v>
      </c>
      <c r="J1" s="4"/>
      <c r="K1" s="573" t="s">
        <v>331</v>
      </c>
      <c r="M1" s="1014">
        <v>43586</v>
      </c>
    </row>
    <row r="2" spans="1:18" ht="6.75" customHeight="1" thickBot="1" x14ac:dyDescent="0.3"/>
    <row r="3" spans="1:18" s="176" customFormat="1" ht="18.75" customHeight="1" x14ac:dyDescent="0.25">
      <c r="A3" s="632" t="s">
        <v>197</v>
      </c>
      <c r="B3" s="294"/>
      <c r="C3" s="294"/>
      <c r="D3" s="294"/>
      <c r="E3" s="294"/>
      <c r="F3" s="294"/>
      <c r="G3" s="294"/>
      <c r="H3" s="294"/>
      <c r="I3" s="294"/>
      <c r="J3" s="294"/>
      <c r="K3" s="296"/>
      <c r="L3" s="294"/>
      <c r="M3" s="296"/>
    </row>
    <row r="4" spans="1:18" s="176" customFormat="1" ht="32.25" customHeight="1" thickBot="1" x14ac:dyDescent="0.3">
      <c r="A4" s="297" t="s">
        <v>0</v>
      </c>
      <c r="B4" s="298" t="s">
        <v>1</v>
      </c>
      <c r="C4" s="299" t="s">
        <v>14</v>
      </c>
      <c r="D4" s="298" t="s">
        <v>58</v>
      </c>
      <c r="E4" s="298" t="s">
        <v>18</v>
      </c>
      <c r="F4" s="298" t="s">
        <v>30</v>
      </c>
      <c r="G4" s="298" t="s">
        <v>2</v>
      </c>
      <c r="H4" s="299" t="s">
        <v>3</v>
      </c>
      <c r="I4" s="298" t="s">
        <v>4</v>
      </c>
      <c r="J4" s="299" t="s">
        <v>5</v>
      </c>
      <c r="K4" s="301" t="s">
        <v>31</v>
      </c>
      <c r="L4" s="298" t="s">
        <v>18</v>
      </c>
      <c r="M4" s="301" t="s">
        <v>495</v>
      </c>
      <c r="Q4" s="945"/>
      <c r="R4" s="176" t="s">
        <v>136</v>
      </c>
    </row>
    <row r="5" spans="1:18" s="176" customFormat="1" ht="40.5" customHeight="1" x14ac:dyDescent="0.25">
      <c r="A5" s="456" t="s">
        <v>212</v>
      </c>
      <c r="B5" s="119" t="s">
        <v>194</v>
      </c>
      <c r="C5" s="142" t="s">
        <v>98</v>
      </c>
      <c r="D5" s="478" t="s">
        <v>388</v>
      </c>
      <c r="E5" s="124"/>
      <c r="F5" s="125">
        <v>0.08</v>
      </c>
      <c r="G5" s="65">
        <f>F5*(153939*1.025)</f>
        <v>12622.997999999998</v>
      </c>
      <c r="H5" s="65">
        <f>1965+2500</f>
        <v>4465</v>
      </c>
      <c r="I5" s="116">
        <f>G5+H5</f>
        <v>17087.998</v>
      </c>
      <c r="J5" s="770">
        <v>0.9</v>
      </c>
      <c r="K5" s="63">
        <f>J5*I5</f>
        <v>15379.198200000001</v>
      </c>
      <c r="L5" s="960" t="s">
        <v>136</v>
      </c>
      <c r="M5" s="1009" t="s">
        <v>615</v>
      </c>
      <c r="Q5" s="946"/>
      <c r="R5" s="176" t="s">
        <v>496</v>
      </c>
    </row>
    <row r="6" spans="1:18" s="176" customFormat="1" ht="40.5" customHeight="1" x14ac:dyDescent="0.25">
      <c r="A6" s="457"/>
      <c r="B6" s="110" t="s">
        <v>99</v>
      </c>
      <c r="C6" s="110" t="s">
        <v>272</v>
      </c>
      <c r="D6" s="447" t="s">
        <v>422</v>
      </c>
      <c r="E6" s="124"/>
      <c r="F6" s="124"/>
      <c r="G6" s="127"/>
      <c r="H6" s="127"/>
      <c r="I6" s="127"/>
      <c r="J6" s="124"/>
      <c r="K6" s="128"/>
      <c r="L6" s="960" t="s">
        <v>136</v>
      </c>
      <c r="M6" s="1017" t="s">
        <v>616</v>
      </c>
      <c r="Q6" s="947"/>
      <c r="R6" s="176" t="s">
        <v>497</v>
      </c>
    </row>
    <row r="7" spans="1:18" s="176" customFormat="1" ht="27" customHeight="1" x14ac:dyDescent="0.25">
      <c r="A7" s="126"/>
      <c r="B7" s="142" t="s">
        <v>163</v>
      </c>
      <c r="C7" s="142" t="s">
        <v>101</v>
      </c>
      <c r="D7" s="704" t="s">
        <v>113</v>
      </c>
      <c r="E7" s="124"/>
      <c r="F7" s="124"/>
      <c r="G7" s="127"/>
      <c r="H7" s="127"/>
      <c r="I7" s="127"/>
      <c r="J7" s="124"/>
      <c r="K7" s="128"/>
      <c r="L7" s="960" t="s">
        <v>136</v>
      </c>
      <c r="M7" s="1018"/>
      <c r="Q7" s="948"/>
      <c r="R7" s="176" t="s">
        <v>498</v>
      </c>
    </row>
    <row r="8" spans="1:18" s="176" customFormat="1" ht="39.75" customHeight="1" x14ac:dyDescent="0.25">
      <c r="A8" s="126"/>
      <c r="B8" s="110" t="s">
        <v>102</v>
      </c>
      <c r="C8" s="110" t="s">
        <v>103</v>
      </c>
      <c r="D8" s="447" t="s">
        <v>381</v>
      </c>
      <c r="E8" s="124"/>
      <c r="F8" s="124"/>
      <c r="G8" s="127"/>
      <c r="H8" s="127"/>
      <c r="I8" s="127"/>
      <c r="J8" s="124"/>
      <c r="K8" s="235"/>
      <c r="L8" s="1062" t="s">
        <v>136</v>
      </c>
      <c r="M8" s="1064" t="s">
        <v>600</v>
      </c>
    </row>
    <row r="9" spans="1:18" s="176" customFormat="1" ht="15" customHeight="1" x14ac:dyDescent="0.25">
      <c r="A9" s="126"/>
      <c r="B9" s="142" t="s">
        <v>104</v>
      </c>
      <c r="C9" s="142" t="s">
        <v>104</v>
      </c>
      <c r="D9" s="142"/>
      <c r="E9" s="124"/>
      <c r="F9" s="124"/>
      <c r="G9" s="127"/>
      <c r="H9" s="127"/>
      <c r="I9" s="127"/>
      <c r="J9" s="124"/>
      <c r="K9" s="235"/>
      <c r="L9" s="1063"/>
      <c r="M9" s="1065"/>
    </row>
    <row r="10" spans="1:18" s="176" customFormat="1" ht="27.75" customHeight="1" x14ac:dyDescent="0.25">
      <c r="A10" s="1055" t="s">
        <v>213</v>
      </c>
      <c r="B10" s="91" t="s">
        <v>83</v>
      </c>
      <c r="C10" s="111" t="s">
        <v>105</v>
      </c>
      <c r="D10" s="111" t="s">
        <v>106</v>
      </c>
      <c r="E10" s="124"/>
      <c r="F10" s="591">
        <v>0.17899999999999999</v>
      </c>
      <c r="G10" s="151">
        <f>F10*153939</f>
        <v>27555.080999999998</v>
      </c>
      <c r="H10" s="152">
        <v>2475</v>
      </c>
      <c r="I10" s="115">
        <f>G10+H10</f>
        <v>30030.080999999998</v>
      </c>
      <c r="J10" s="153">
        <v>90</v>
      </c>
      <c r="K10" s="154">
        <f>($I$10*$J$10)/100</f>
        <v>27027.072899999999</v>
      </c>
      <c r="L10" s="960" t="s">
        <v>136</v>
      </c>
      <c r="M10" s="942" t="s">
        <v>601</v>
      </c>
    </row>
    <row r="11" spans="1:18" s="176" customFormat="1" ht="40.5" customHeight="1" x14ac:dyDescent="0.25">
      <c r="A11" s="1050"/>
      <c r="B11" s="91" t="s">
        <v>287</v>
      </c>
      <c r="C11" s="111" t="s">
        <v>107</v>
      </c>
      <c r="D11" s="111" t="s">
        <v>295</v>
      </c>
      <c r="E11" s="124"/>
      <c r="F11" s="124"/>
      <c r="G11" s="127"/>
      <c r="H11" s="127"/>
      <c r="I11" s="127"/>
      <c r="J11" s="124"/>
      <c r="K11" s="128"/>
      <c r="L11" s="960" t="s">
        <v>136</v>
      </c>
      <c r="M11" s="942" t="s">
        <v>617</v>
      </c>
    </row>
    <row r="12" spans="1:18" s="176" customFormat="1" ht="16.5" customHeight="1" thickBot="1" x14ac:dyDescent="0.3">
      <c r="A12" s="1052"/>
      <c r="B12" s="91" t="s">
        <v>109</v>
      </c>
      <c r="C12" s="91" t="s">
        <v>108</v>
      </c>
      <c r="D12" s="713" t="s">
        <v>312</v>
      </c>
      <c r="E12" s="124"/>
      <c r="F12" s="124"/>
      <c r="G12" s="127"/>
      <c r="H12" s="127"/>
      <c r="I12" s="127"/>
      <c r="J12" s="124"/>
      <c r="K12" s="128"/>
      <c r="L12" s="960" t="s">
        <v>136</v>
      </c>
      <c r="M12" s="943" t="s">
        <v>603</v>
      </c>
    </row>
    <row r="13" spans="1:18" ht="17.25" customHeight="1" x14ac:dyDescent="0.25">
      <c r="A13" s="650" t="s">
        <v>198</v>
      </c>
      <c r="B13" s="208"/>
      <c r="C13" s="208"/>
      <c r="D13" s="208"/>
      <c r="E13" s="208"/>
      <c r="F13" s="208"/>
      <c r="G13" s="208"/>
      <c r="H13" s="208"/>
      <c r="I13" s="208"/>
      <c r="J13" s="208"/>
      <c r="K13" s="211"/>
      <c r="L13" s="691"/>
      <c r="M13" s="692"/>
    </row>
    <row r="14" spans="1:18" ht="30" customHeight="1" thickBot="1" x14ac:dyDescent="0.3">
      <c r="A14" s="274" t="s">
        <v>0</v>
      </c>
      <c r="B14" s="275" t="s">
        <v>1</v>
      </c>
      <c r="C14" s="276" t="s">
        <v>16</v>
      </c>
      <c r="D14" s="275" t="s">
        <v>58</v>
      </c>
      <c r="E14" s="275" t="s">
        <v>18</v>
      </c>
      <c r="F14" s="275" t="s">
        <v>30</v>
      </c>
      <c r="G14" s="275" t="s">
        <v>2</v>
      </c>
      <c r="H14" s="276" t="s">
        <v>3</v>
      </c>
      <c r="I14" s="275" t="s">
        <v>4</v>
      </c>
      <c r="J14" s="276" t="s">
        <v>5</v>
      </c>
      <c r="K14" s="277" t="s">
        <v>31</v>
      </c>
      <c r="L14" s="275" t="s">
        <v>18</v>
      </c>
      <c r="M14" s="277" t="s">
        <v>495</v>
      </c>
    </row>
    <row r="15" spans="1:18" ht="105" customHeight="1" x14ac:dyDescent="0.25">
      <c r="A15" s="29" t="s">
        <v>204</v>
      </c>
      <c r="B15" s="242" t="s">
        <v>676</v>
      </c>
      <c r="C15" s="31" t="s">
        <v>63</v>
      </c>
      <c r="D15" s="173" t="s">
        <v>118</v>
      </c>
      <c r="E15" s="285"/>
      <c r="F15" s="769">
        <v>4.8349999999999997E-2</v>
      </c>
      <c r="G15" s="1056">
        <f>F15*(176702*1.025)</f>
        <v>8757.1302424999994</v>
      </c>
      <c r="H15" s="1058">
        <v>0</v>
      </c>
      <c r="I15" s="1056">
        <f>G15</f>
        <v>8757.1302424999994</v>
      </c>
      <c r="J15" s="1058">
        <v>100</v>
      </c>
      <c r="K15" s="1060">
        <f>I15*J15/100</f>
        <v>8757.1302424999994</v>
      </c>
      <c r="L15" s="1066" t="s">
        <v>136</v>
      </c>
      <c r="M15" s="938"/>
    </row>
    <row r="16" spans="1:18" ht="27.75" customHeight="1" thickBot="1" x14ac:dyDescent="0.3">
      <c r="A16" s="223"/>
      <c r="B16" s="179" t="s">
        <v>64</v>
      </c>
      <c r="C16" s="180" t="s">
        <v>65</v>
      </c>
      <c r="D16" s="402"/>
      <c r="E16" s="420"/>
      <c r="F16" s="575"/>
      <c r="G16" s="1057"/>
      <c r="H16" s="1059"/>
      <c r="I16" s="1057"/>
      <c r="J16" s="1059"/>
      <c r="K16" s="1061"/>
      <c r="L16" s="1067"/>
      <c r="M16" s="938"/>
    </row>
    <row r="17" spans="1:33" ht="18" customHeight="1" x14ac:dyDescent="0.25">
      <c r="A17" s="651" t="s">
        <v>209</v>
      </c>
      <c r="B17" s="625"/>
      <c r="C17" s="625"/>
      <c r="D17" s="625"/>
      <c r="E17" s="625"/>
      <c r="F17" s="625"/>
      <c r="G17" s="625"/>
      <c r="H17" s="625"/>
      <c r="I17" s="625"/>
      <c r="J17" s="625"/>
      <c r="K17" s="626"/>
      <c r="L17" s="625"/>
      <c r="M17" s="626"/>
    </row>
    <row r="18" spans="1:33" ht="30.75" customHeight="1" thickBot="1" x14ac:dyDescent="0.3">
      <c r="A18" s="627" t="s">
        <v>0</v>
      </c>
      <c r="B18" s="628" t="s">
        <v>1</v>
      </c>
      <c r="C18" s="630" t="s">
        <v>14</v>
      </c>
      <c r="D18" s="628" t="s">
        <v>54</v>
      </c>
      <c r="E18" s="628" t="s">
        <v>18</v>
      </c>
      <c r="F18" s="628" t="s">
        <v>30</v>
      </c>
      <c r="G18" s="628" t="s">
        <v>2</v>
      </c>
      <c r="H18" s="628" t="s">
        <v>3</v>
      </c>
      <c r="I18" s="628" t="s">
        <v>4</v>
      </c>
      <c r="J18" s="631" t="s">
        <v>55</v>
      </c>
      <c r="K18" s="629" t="s">
        <v>56</v>
      </c>
      <c r="L18" s="628" t="s">
        <v>18</v>
      </c>
      <c r="M18" s="629" t="s">
        <v>495</v>
      </c>
    </row>
    <row r="19" spans="1:33" ht="29.25" customHeight="1" x14ac:dyDescent="0.25">
      <c r="A19" s="1049" t="s">
        <v>214</v>
      </c>
      <c r="B19" s="1075" t="s">
        <v>85</v>
      </c>
      <c r="C19" s="139" t="s">
        <v>75</v>
      </c>
      <c r="D19" s="478" t="s">
        <v>423</v>
      </c>
      <c r="E19" s="35"/>
      <c r="F19" s="796">
        <v>0.40689999999999998</v>
      </c>
      <c r="G19" s="234">
        <f>F19*(153816*1.025)</f>
        <v>64152.423659999993</v>
      </c>
      <c r="H19" s="234">
        <v>81398</v>
      </c>
      <c r="I19" s="269">
        <f>G19+H19</f>
        <v>145550.42366</v>
      </c>
      <c r="J19" s="270">
        <v>90</v>
      </c>
      <c r="K19" s="121">
        <f>I19*J19/100</f>
        <v>130995.38129400001</v>
      </c>
      <c r="L19" s="960" t="s">
        <v>136</v>
      </c>
      <c r="M19" s="1001" t="s">
        <v>618</v>
      </c>
    </row>
    <row r="20" spans="1:33" ht="16.5" customHeight="1" x14ac:dyDescent="0.25">
      <c r="A20" s="1050"/>
      <c r="B20" s="1076"/>
      <c r="C20" s="140"/>
      <c r="D20" s="448" t="s">
        <v>420</v>
      </c>
      <c r="E20" s="35"/>
      <c r="F20" s="35"/>
      <c r="G20" s="116"/>
      <c r="H20" s="62"/>
      <c r="I20" s="65"/>
      <c r="J20" s="117"/>
      <c r="K20" s="121"/>
      <c r="L20" s="960" t="s">
        <v>136</v>
      </c>
      <c r="M20" s="1008" t="s">
        <v>619</v>
      </c>
    </row>
    <row r="21" spans="1:33" ht="28.5" customHeight="1" x14ac:dyDescent="0.25">
      <c r="A21" s="1050"/>
      <c r="B21" s="141" t="s">
        <v>76</v>
      </c>
      <c r="C21" s="141" t="s">
        <v>77</v>
      </c>
      <c r="D21" s="704" t="s">
        <v>421</v>
      </c>
      <c r="E21" s="35"/>
      <c r="F21" s="35"/>
      <c r="G21" s="116"/>
      <c r="H21" s="62"/>
      <c r="I21" s="65"/>
      <c r="J21" s="117"/>
      <c r="K21" s="121"/>
      <c r="L21" s="960" t="s">
        <v>136</v>
      </c>
      <c r="M21" s="1005" t="s">
        <v>620</v>
      </c>
    </row>
    <row r="22" spans="1:33" ht="29.25" customHeight="1" x14ac:dyDescent="0.25">
      <c r="A22" s="1050"/>
      <c r="B22" s="129" t="s">
        <v>78</v>
      </c>
      <c r="C22" s="129" t="s">
        <v>79</v>
      </c>
      <c r="D22" s="448" t="s">
        <v>370</v>
      </c>
      <c r="E22" s="35"/>
      <c r="F22" s="35"/>
      <c r="G22" s="116"/>
      <c r="H22" s="62"/>
      <c r="I22" s="65"/>
      <c r="J22" s="117"/>
      <c r="K22" s="121"/>
      <c r="L22" s="960" t="s">
        <v>136</v>
      </c>
      <c r="M22" s="943" t="s">
        <v>587</v>
      </c>
    </row>
    <row r="23" spans="1:33" ht="27" customHeight="1" x14ac:dyDescent="0.25">
      <c r="A23" s="1050"/>
      <c r="B23" s="129"/>
      <c r="C23" s="129" t="s">
        <v>80</v>
      </c>
      <c r="D23" s="448" t="s">
        <v>369</v>
      </c>
      <c r="E23" s="35"/>
      <c r="F23" s="35"/>
      <c r="G23" s="116"/>
      <c r="H23" s="62"/>
      <c r="I23" s="65"/>
      <c r="J23" s="117"/>
      <c r="K23" s="121"/>
      <c r="L23" s="960" t="s">
        <v>136</v>
      </c>
      <c r="M23" s="943" t="s">
        <v>606</v>
      </c>
    </row>
    <row r="24" spans="1:33" ht="38.25" customHeight="1" x14ac:dyDescent="0.25">
      <c r="A24" s="1050"/>
      <c r="B24" s="129"/>
      <c r="C24" s="129" t="s">
        <v>81</v>
      </c>
      <c r="D24" s="448" t="s">
        <v>368</v>
      </c>
      <c r="E24" s="35"/>
      <c r="F24" s="35"/>
      <c r="G24" s="116"/>
      <c r="H24" s="62"/>
      <c r="I24" s="65"/>
      <c r="J24" s="117"/>
      <c r="K24" s="121"/>
      <c r="L24" s="960" t="s">
        <v>136</v>
      </c>
      <c r="M24" s="943" t="s">
        <v>644</v>
      </c>
    </row>
    <row r="25" spans="1:33" s="176" customFormat="1" ht="40.5" customHeight="1" x14ac:dyDescent="0.25">
      <c r="A25" s="1031"/>
      <c r="B25" s="714" t="s">
        <v>82</v>
      </c>
      <c r="C25" s="561" t="s">
        <v>674</v>
      </c>
      <c r="D25" s="561" t="s">
        <v>311</v>
      </c>
      <c r="E25" s="155"/>
      <c r="F25" s="155"/>
      <c r="G25" s="156"/>
      <c r="H25" s="157"/>
      <c r="I25" s="158"/>
      <c r="J25" s="159"/>
      <c r="K25" s="160"/>
      <c r="L25" s="1151" t="s">
        <v>136</v>
      </c>
      <c r="M25" s="1006" t="s">
        <v>608</v>
      </c>
    </row>
    <row r="26" spans="1:33" s="559" customFormat="1" ht="157.5" customHeight="1" thickBot="1" x14ac:dyDescent="0.3">
      <c r="A26" s="695" t="s">
        <v>223</v>
      </c>
      <c r="B26" s="560" t="s">
        <v>193</v>
      </c>
      <c r="C26" s="560" t="s">
        <v>95</v>
      </c>
      <c r="D26" s="560" t="s">
        <v>371</v>
      </c>
      <c r="E26" s="562"/>
      <c r="F26" s="562"/>
      <c r="G26" s="563"/>
      <c r="H26" s="564"/>
      <c r="I26" s="565"/>
      <c r="J26" s="563"/>
      <c r="K26" s="566"/>
      <c r="L26" s="961" t="s">
        <v>136</v>
      </c>
      <c r="M26" s="1007" t="s">
        <v>675</v>
      </c>
      <c r="N26" s="176"/>
      <c r="O26" s="176"/>
      <c r="P26" s="176"/>
      <c r="Q26" s="176"/>
      <c r="R26" s="176"/>
      <c r="S26" s="176"/>
      <c r="T26" s="176"/>
      <c r="U26" s="176"/>
      <c r="V26" s="176"/>
      <c r="W26" s="176"/>
      <c r="X26" s="176"/>
      <c r="Y26" s="176"/>
      <c r="Z26" s="176"/>
      <c r="AA26" s="176"/>
      <c r="AB26" s="176"/>
      <c r="AC26" s="176"/>
      <c r="AD26" s="176"/>
      <c r="AE26" s="176"/>
      <c r="AF26" s="176"/>
      <c r="AG26" s="176"/>
    </row>
    <row r="27" spans="1:33" ht="18.75" customHeight="1" thickBot="1" x14ac:dyDescent="0.3">
      <c r="A27" s="36" t="s">
        <v>199</v>
      </c>
      <c r="B27" s="23"/>
      <c r="C27" s="24"/>
      <c r="D27" s="25"/>
      <c r="E27" s="26"/>
      <c r="F27" s="26"/>
      <c r="G27" s="27"/>
      <c r="H27" s="27"/>
      <c r="I27" s="27"/>
      <c r="J27" s="27"/>
      <c r="K27" s="28"/>
      <c r="L27" s="25"/>
      <c r="M27" s="944"/>
      <c r="N27" s="176"/>
      <c r="O27" s="176"/>
      <c r="P27" s="176"/>
      <c r="Q27" s="176"/>
      <c r="R27" s="176"/>
      <c r="S27" s="176"/>
      <c r="T27" s="176"/>
      <c r="U27" s="176"/>
      <c r="V27" s="176"/>
      <c r="W27" s="176"/>
      <c r="X27" s="176"/>
      <c r="Y27" s="176"/>
      <c r="Z27" s="176"/>
      <c r="AA27" s="176"/>
      <c r="AB27" s="176"/>
      <c r="AC27" s="176"/>
      <c r="AD27" s="176"/>
      <c r="AE27" s="176"/>
      <c r="AF27" s="176"/>
      <c r="AG27" s="176"/>
    </row>
    <row r="28" spans="1:33" ht="17.25" customHeight="1" x14ac:dyDescent="0.25">
      <c r="A28" s="193" t="s">
        <v>206</v>
      </c>
      <c r="B28" s="194"/>
      <c r="C28" s="194"/>
      <c r="D28" s="194"/>
      <c r="E28" s="194"/>
      <c r="F28" s="194"/>
      <c r="G28" s="194"/>
      <c r="H28" s="194"/>
      <c r="I28" s="194"/>
      <c r="J28" s="194"/>
      <c r="K28" s="195"/>
      <c r="L28" s="194"/>
      <c r="M28" s="195"/>
    </row>
    <row r="29" spans="1:33" ht="31.5" customHeight="1" thickBot="1" x14ac:dyDescent="0.3">
      <c r="A29" s="279" t="s">
        <v>0</v>
      </c>
      <c r="B29" s="267" t="s">
        <v>1</v>
      </c>
      <c r="C29" s="280" t="s">
        <v>14</v>
      </c>
      <c r="D29" s="267" t="s">
        <v>58</v>
      </c>
      <c r="E29" s="268" t="s">
        <v>18</v>
      </c>
      <c r="F29" s="268" t="s">
        <v>30</v>
      </c>
      <c r="G29" s="268" t="s">
        <v>2</v>
      </c>
      <c r="H29" s="280" t="s">
        <v>3</v>
      </c>
      <c r="I29" s="267" t="s">
        <v>4</v>
      </c>
      <c r="J29" s="280" t="s">
        <v>5</v>
      </c>
      <c r="K29" s="281" t="s">
        <v>31</v>
      </c>
      <c r="L29" s="267" t="s">
        <v>18</v>
      </c>
      <c r="M29" s="281" t="s">
        <v>495</v>
      </c>
    </row>
    <row r="30" spans="1:33" ht="30" customHeight="1" x14ac:dyDescent="0.25">
      <c r="A30" s="1049" t="s">
        <v>215</v>
      </c>
      <c r="B30" s="132" t="s">
        <v>66</v>
      </c>
      <c r="C30" s="120" t="s">
        <v>68</v>
      </c>
      <c r="D30" s="111" t="s">
        <v>121</v>
      </c>
      <c r="E30" s="95"/>
      <c r="F30" s="768">
        <v>0.1278</v>
      </c>
      <c r="G30" s="65">
        <f>F30*(128495*1.025)</f>
        <v>16832.202525000001</v>
      </c>
      <c r="H30" s="65">
        <v>8350</v>
      </c>
      <c r="I30" s="577">
        <f>G30+H30</f>
        <v>25182.202525000001</v>
      </c>
      <c r="J30" s="62">
        <v>100</v>
      </c>
      <c r="K30" s="576">
        <f>I30*J30/100</f>
        <v>25182.202525000001</v>
      </c>
      <c r="L30" s="960" t="s">
        <v>136</v>
      </c>
      <c r="M30" s="1068" t="s">
        <v>574</v>
      </c>
    </row>
    <row r="31" spans="1:33" ht="29.25" customHeight="1" x14ac:dyDescent="0.25">
      <c r="A31" s="1050"/>
      <c r="B31" s="1051" t="s">
        <v>115</v>
      </c>
      <c r="C31" s="120" t="s">
        <v>69</v>
      </c>
      <c r="D31" s="111" t="s">
        <v>122</v>
      </c>
      <c r="E31" s="95"/>
      <c r="F31" s="95"/>
      <c r="G31" s="65"/>
      <c r="H31" s="62"/>
      <c r="I31" s="65"/>
      <c r="J31" s="62"/>
      <c r="K31" s="78"/>
      <c r="L31" s="960" t="s">
        <v>136</v>
      </c>
      <c r="M31" s="1069"/>
    </row>
    <row r="32" spans="1:33" ht="30" customHeight="1" x14ac:dyDescent="0.25">
      <c r="A32" s="1050"/>
      <c r="B32" s="1051"/>
      <c r="C32" s="120" t="s">
        <v>70</v>
      </c>
      <c r="D32" s="111" t="s">
        <v>123</v>
      </c>
      <c r="E32" s="95"/>
      <c r="F32" s="95"/>
      <c r="G32" s="65"/>
      <c r="H32" s="62"/>
      <c r="I32" s="65"/>
      <c r="J32" s="62"/>
      <c r="K32" s="78"/>
      <c r="L32" s="960" t="s">
        <v>136</v>
      </c>
      <c r="M32" s="1069"/>
    </row>
    <row r="33" spans="1:13" ht="40.5" customHeight="1" x14ac:dyDescent="0.25">
      <c r="A33" s="10"/>
      <c r="B33" s="493"/>
      <c r="C33" s="120" t="s">
        <v>71</v>
      </c>
      <c r="D33" s="111" t="s">
        <v>124</v>
      </c>
      <c r="E33" s="95"/>
      <c r="F33" s="95"/>
      <c r="G33" s="65"/>
      <c r="H33" s="62"/>
      <c r="I33" s="65"/>
      <c r="J33" s="62"/>
      <c r="K33" s="78"/>
      <c r="L33" s="960" t="s">
        <v>136</v>
      </c>
      <c r="M33" s="1069"/>
    </row>
    <row r="34" spans="1:13" ht="41.25" customHeight="1" x14ac:dyDescent="0.25">
      <c r="A34" s="10"/>
      <c r="B34" s="493"/>
      <c r="C34" s="120" t="s">
        <v>72</v>
      </c>
      <c r="D34" s="111" t="s">
        <v>125</v>
      </c>
      <c r="E34" s="95"/>
      <c r="F34" s="95"/>
      <c r="G34" s="65"/>
      <c r="H34" s="62"/>
      <c r="I34" s="65"/>
      <c r="J34" s="62"/>
      <c r="K34" s="78"/>
      <c r="L34" s="960" t="s">
        <v>136</v>
      </c>
      <c r="M34" s="1069"/>
    </row>
    <row r="35" spans="1:13" ht="17.25" customHeight="1" thickBot="1" x14ac:dyDescent="0.3">
      <c r="A35" s="10"/>
      <c r="B35" s="451"/>
      <c r="C35" s="425" t="s">
        <v>73</v>
      </c>
      <c r="D35" s="431" t="s">
        <v>126</v>
      </c>
      <c r="E35" s="95"/>
      <c r="F35" s="95"/>
      <c r="G35" s="65"/>
      <c r="H35" s="62"/>
      <c r="I35" s="65"/>
      <c r="J35" s="62"/>
      <c r="K35" s="78"/>
      <c r="L35" s="960" t="s">
        <v>136</v>
      </c>
      <c r="M35" s="1070"/>
    </row>
    <row r="36" spans="1:13" ht="15.75" x14ac:dyDescent="0.25">
      <c r="A36" s="205" t="s">
        <v>208</v>
      </c>
      <c r="B36" s="206"/>
      <c r="C36" s="206"/>
      <c r="D36" s="206"/>
      <c r="E36" s="206"/>
      <c r="F36" s="206"/>
      <c r="G36" s="206"/>
      <c r="H36" s="206"/>
      <c r="I36" s="206"/>
      <c r="J36" s="206"/>
      <c r="K36" s="210"/>
      <c r="L36" s="206"/>
      <c r="M36" s="210"/>
    </row>
    <row r="37" spans="1:13" ht="30" customHeight="1" thickBot="1" x14ac:dyDescent="0.3">
      <c r="A37" s="271" t="s">
        <v>0</v>
      </c>
      <c r="B37" s="266" t="s">
        <v>1</v>
      </c>
      <c r="C37" s="272" t="s">
        <v>14</v>
      </c>
      <c r="D37" s="266" t="s">
        <v>58</v>
      </c>
      <c r="E37" s="266" t="s">
        <v>18</v>
      </c>
      <c r="F37" s="266" t="s">
        <v>30</v>
      </c>
      <c r="G37" s="266" t="s">
        <v>2</v>
      </c>
      <c r="H37" s="272" t="s">
        <v>3</v>
      </c>
      <c r="I37" s="266" t="s">
        <v>4</v>
      </c>
      <c r="J37" s="272" t="s">
        <v>5</v>
      </c>
      <c r="K37" s="273" t="s">
        <v>31</v>
      </c>
      <c r="L37" s="266" t="s">
        <v>18</v>
      </c>
      <c r="M37" s="273" t="s">
        <v>495</v>
      </c>
    </row>
    <row r="38" spans="1:13" ht="28.5" customHeight="1" x14ac:dyDescent="0.25">
      <c r="A38" s="1049" t="s">
        <v>203</v>
      </c>
      <c r="B38" s="1053" t="s">
        <v>10</v>
      </c>
      <c r="C38" s="462" t="s">
        <v>19</v>
      </c>
      <c r="D38" s="103" t="s">
        <v>245</v>
      </c>
      <c r="E38" s="135"/>
      <c r="F38" s="86">
        <v>0</v>
      </c>
      <c r="G38" s="61">
        <v>0</v>
      </c>
      <c r="H38" s="87">
        <f>14*21.42</f>
        <v>299.88</v>
      </c>
      <c r="I38" s="87">
        <f>H38</f>
        <v>299.88</v>
      </c>
      <c r="J38" s="87">
        <v>100</v>
      </c>
      <c r="K38" s="87">
        <f>I38*J38/100</f>
        <v>299.88</v>
      </c>
      <c r="L38" s="964" t="s">
        <v>136</v>
      </c>
      <c r="M38" s="1039" t="s">
        <v>548</v>
      </c>
    </row>
    <row r="39" spans="1:13" ht="30" customHeight="1" thickBot="1" x14ac:dyDescent="0.3">
      <c r="A39" s="1052"/>
      <c r="B39" s="1054"/>
      <c r="C39" s="463" t="s">
        <v>11</v>
      </c>
      <c r="D39" s="196" t="s">
        <v>246</v>
      </c>
      <c r="E39" s="105"/>
      <c r="F39" s="105"/>
      <c r="G39" s="106"/>
      <c r="H39" s="106"/>
      <c r="I39" s="106"/>
      <c r="J39" s="106"/>
      <c r="K39" s="106"/>
      <c r="L39" s="961" t="s">
        <v>136</v>
      </c>
      <c r="M39" s="1040"/>
    </row>
    <row r="40" spans="1:13" ht="9" customHeight="1" thickBot="1" x14ac:dyDescent="0.3">
      <c r="B40" s="22"/>
      <c r="G40" s="877" t="s">
        <v>432</v>
      </c>
    </row>
    <row r="41" spans="1:13" ht="15.75" thickBot="1" x14ac:dyDescent="0.3">
      <c r="B41" s="1045" t="s">
        <v>12</v>
      </c>
      <c r="C41" s="32" t="s">
        <v>13</v>
      </c>
      <c r="D41" s="511">
        <v>130995.38129400001</v>
      </c>
      <c r="G41" s="882">
        <v>128439</v>
      </c>
      <c r="H41" s="178"/>
      <c r="I41" s="178"/>
      <c r="J41" s="178"/>
      <c r="K41" s="178"/>
    </row>
    <row r="42" spans="1:13" ht="15.75" thickBot="1" x14ac:dyDescent="0.3">
      <c r="B42" s="1046"/>
      <c r="C42" s="21" t="s">
        <v>20</v>
      </c>
      <c r="D42" s="512">
        <v>8757.1302424999994</v>
      </c>
      <c r="G42" s="883">
        <v>9065</v>
      </c>
      <c r="H42" s="458"/>
      <c r="I42" s="458"/>
      <c r="J42" s="458"/>
      <c r="K42" s="458"/>
    </row>
    <row r="43" spans="1:13" ht="15.75" thickBot="1" x14ac:dyDescent="0.3">
      <c r="B43" s="1046"/>
      <c r="C43" s="21" t="s">
        <v>24</v>
      </c>
      <c r="D43" s="511">
        <v>42406.271099999998</v>
      </c>
      <c r="G43" s="883">
        <v>40871.699999999997</v>
      </c>
      <c r="H43" s="216"/>
      <c r="I43" s="216"/>
      <c r="J43" s="216"/>
      <c r="K43" s="33"/>
    </row>
    <row r="44" spans="1:13" x14ac:dyDescent="0.25">
      <c r="B44" s="1046"/>
      <c r="C44" s="44" t="s">
        <v>21</v>
      </c>
      <c r="D44" s="513">
        <v>25482.082525000002</v>
      </c>
      <c r="G44" s="884">
        <v>26161.32</v>
      </c>
      <c r="H44" s="216"/>
      <c r="I44" s="216"/>
      <c r="J44" s="216"/>
      <c r="K44" s="33"/>
    </row>
    <row r="45" spans="1:13" hidden="1" x14ac:dyDescent="0.25">
      <c r="B45" s="1047"/>
      <c r="C45" s="45" t="s">
        <v>25</v>
      </c>
      <c r="D45" s="514">
        <v>25182.202525000001</v>
      </c>
      <c r="G45" s="885">
        <v>25855</v>
      </c>
    </row>
    <row r="46" spans="1:13" ht="15.75" hidden="1" thickBot="1" x14ac:dyDescent="0.3">
      <c r="B46" s="1047"/>
      <c r="C46" s="46" t="s">
        <v>26</v>
      </c>
      <c r="D46" s="515">
        <v>299.88</v>
      </c>
      <c r="G46" s="886">
        <v>306.32</v>
      </c>
    </row>
    <row r="47" spans="1:13" ht="15.75" thickBot="1" x14ac:dyDescent="0.3">
      <c r="B47" s="1048"/>
      <c r="C47" s="43" t="s">
        <v>23</v>
      </c>
      <c r="D47" s="516">
        <v>207640.86516150003</v>
      </c>
      <c r="E47" s="136"/>
      <c r="F47" s="136"/>
      <c r="G47" s="871">
        <v>204537.02000000002</v>
      </c>
    </row>
    <row r="48" spans="1:13" x14ac:dyDescent="0.25">
      <c r="B48" s="33"/>
      <c r="C48" s="458"/>
      <c r="E48" s="54" t="s">
        <v>74</v>
      </c>
      <c r="F48" s="54"/>
      <c r="G48" s="107">
        <v>24.19</v>
      </c>
    </row>
    <row r="49" spans="2:13" x14ac:dyDescent="0.25">
      <c r="B49" s="33"/>
      <c r="C49" s="216"/>
    </row>
    <row r="50" spans="2:13" x14ac:dyDescent="0.25">
      <c r="C50" s="216"/>
      <c r="E50" s="47">
        <v>23</v>
      </c>
      <c r="F50" s="47"/>
    </row>
    <row r="51" spans="2:13" x14ac:dyDescent="0.25">
      <c r="E51" s="47">
        <v>460</v>
      </c>
      <c r="F51" s="47"/>
    </row>
    <row r="52" spans="2:13" x14ac:dyDescent="0.25">
      <c r="E52" s="47">
        <v>23</v>
      </c>
      <c r="F52" s="47"/>
    </row>
    <row r="58" spans="2:13" x14ac:dyDescent="0.25">
      <c r="L58" s="178"/>
      <c r="M58" s="178"/>
    </row>
    <row r="59" spans="2:13" x14ac:dyDescent="0.25">
      <c r="L59" s="178"/>
      <c r="M59" s="178"/>
    </row>
    <row r="60" spans="2:13" x14ac:dyDescent="0.25">
      <c r="L60" s="178"/>
      <c r="M60" s="178"/>
    </row>
    <row r="61" spans="2:13" x14ac:dyDescent="0.25">
      <c r="L61" s="178"/>
      <c r="M61" s="178"/>
    </row>
    <row r="62" spans="2:13" x14ac:dyDescent="0.25">
      <c r="L62" s="178"/>
      <c r="M62" s="178"/>
    </row>
    <row r="63" spans="2:13" x14ac:dyDescent="0.25">
      <c r="L63" s="178"/>
      <c r="M63" s="178"/>
    </row>
    <row r="64" spans="2:13" x14ac:dyDescent="0.25">
      <c r="L64" s="178"/>
      <c r="M64" s="178"/>
    </row>
    <row r="65" spans="12:13" x14ac:dyDescent="0.25">
      <c r="L65" s="178"/>
      <c r="M65" s="178"/>
    </row>
    <row r="66" spans="12:13" x14ac:dyDescent="0.25">
      <c r="L66" s="178"/>
      <c r="M66" s="178"/>
    </row>
    <row r="67" spans="12:13" x14ac:dyDescent="0.25">
      <c r="L67" s="178"/>
      <c r="M67" s="178"/>
    </row>
    <row r="68" spans="12:13" x14ac:dyDescent="0.25">
      <c r="L68" s="178"/>
      <c r="M68" s="178"/>
    </row>
    <row r="69" spans="12:13" x14ac:dyDescent="0.25">
      <c r="L69" s="178"/>
      <c r="M69" s="178"/>
    </row>
    <row r="70" spans="12:13" x14ac:dyDescent="0.25">
      <c r="L70" s="178"/>
      <c r="M70" s="178"/>
    </row>
    <row r="71" spans="12:13" x14ac:dyDescent="0.25">
      <c r="L71" s="178"/>
      <c r="M71" s="178"/>
    </row>
    <row r="72" spans="12:13" x14ac:dyDescent="0.25">
      <c r="L72" s="178"/>
      <c r="M72" s="178"/>
    </row>
    <row r="73" spans="12:13" x14ac:dyDescent="0.25">
      <c r="L73" s="178"/>
      <c r="M73" s="178"/>
    </row>
    <row r="74" spans="12:13" x14ac:dyDescent="0.25">
      <c r="L74" s="178"/>
      <c r="M74" s="178"/>
    </row>
    <row r="75" spans="12:13" x14ac:dyDescent="0.25">
      <c r="L75" s="178"/>
      <c r="M75" s="178"/>
    </row>
    <row r="76" spans="12:13" x14ac:dyDescent="0.25">
      <c r="L76" s="178"/>
      <c r="M76" s="178"/>
    </row>
    <row r="77" spans="12:13" x14ac:dyDescent="0.25">
      <c r="L77" s="178"/>
      <c r="M77" s="178"/>
    </row>
    <row r="78" spans="12:13" x14ac:dyDescent="0.25">
      <c r="L78" s="178"/>
      <c r="M78" s="178"/>
    </row>
    <row r="79" spans="12:13" x14ac:dyDescent="0.25">
      <c r="L79" s="178"/>
      <c r="M79" s="178"/>
    </row>
    <row r="80" spans="12:13" x14ac:dyDescent="0.25">
      <c r="L80" s="178"/>
      <c r="M80" s="178"/>
    </row>
    <row r="81" spans="12:13" x14ac:dyDescent="0.25">
      <c r="L81" s="178"/>
      <c r="M81" s="178"/>
    </row>
    <row r="82" spans="12:13" x14ac:dyDescent="0.25">
      <c r="L82" s="178"/>
      <c r="M82" s="178"/>
    </row>
    <row r="83" spans="12:13" x14ac:dyDescent="0.25">
      <c r="L83" s="178"/>
      <c r="M83" s="178"/>
    </row>
    <row r="84" spans="12:13" x14ac:dyDescent="0.25">
      <c r="L84" s="178"/>
      <c r="M84" s="178"/>
    </row>
    <row r="85" spans="12:13" x14ac:dyDescent="0.25">
      <c r="L85" s="178"/>
      <c r="M85" s="178"/>
    </row>
    <row r="86" spans="12:13" x14ac:dyDescent="0.25">
      <c r="L86" s="178"/>
      <c r="M86" s="178"/>
    </row>
    <row r="87" spans="12:13" x14ac:dyDescent="0.25">
      <c r="L87" s="178"/>
      <c r="M87" s="178"/>
    </row>
    <row r="88" spans="12:13" x14ac:dyDescent="0.25">
      <c r="L88" s="178"/>
      <c r="M88" s="178"/>
    </row>
    <row r="89" spans="12:13" x14ac:dyDescent="0.25">
      <c r="L89" s="178"/>
      <c r="M89" s="178"/>
    </row>
    <row r="90" spans="12:13" x14ac:dyDescent="0.25">
      <c r="L90" s="178"/>
      <c r="M90" s="178"/>
    </row>
    <row r="91" spans="12:13" x14ac:dyDescent="0.25">
      <c r="L91" s="178"/>
      <c r="M91" s="178"/>
    </row>
    <row r="92" spans="12:13" x14ac:dyDescent="0.25">
      <c r="L92" s="178"/>
      <c r="M92" s="178"/>
    </row>
    <row r="93" spans="12:13" x14ac:dyDescent="0.25">
      <c r="L93" s="178"/>
      <c r="M93" s="178"/>
    </row>
    <row r="94" spans="12:13" x14ac:dyDescent="0.25">
      <c r="L94" s="178"/>
      <c r="M94" s="178"/>
    </row>
    <row r="95" spans="12:13" x14ac:dyDescent="0.25">
      <c r="L95" s="178"/>
      <c r="M95" s="178"/>
    </row>
    <row r="96" spans="12:13" x14ac:dyDescent="0.25">
      <c r="L96" s="178"/>
      <c r="M96" s="178"/>
    </row>
    <row r="97" spans="12:13" x14ac:dyDescent="0.25">
      <c r="L97" s="178"/>
      <c r="M97" s="178"/>
    </row>
    <row r="98" spans="12:13" x14ac:dyDescent="0.25">
      <c r="L98" s="178"/>
      <c r="M98" s="178"/>
    </row>
    <row r="99" spans="12:13" x14ac:dyDescent="0.25">
      <c r="L99" s="178"/>
      <c r="M99" s="178"/>
    </row>
    <row r="100" spans="12:13" x14ac:dyDescent="0.25">
      <c r="L100" s="178"/>
      <c r="M100" s="178"/>
    </row>
    <row r="101" spans="12:13" x14ac:dyDescent="0.25">
      <c r="L101" s="178"/>
      <c r="M101" s="178"/>
    </row>
    <row r="102" spans="12:13" x14ac:dyDescent="0.25">
      <c r="L102" s="178"/>
      <c r="M102" s="178"/>
    </row>
    <row r="103" spans="12:13" x14ac:dyDescent="0.25">
      <c r="L103" s="178"/>
      <c r="M103" s="178"/>
    </row>
    <row r="104" spans="12:13" x14ac:dyDescent="0.25">
      <c r="L104" s="178"/>
      <c r="M104" s="178"/>
    </row>
    <row r="105" spans="12:13" x14ac:dyDescent="0.25">
      <c r="L105" s="178"/>
      <c r="M105" s="178"/>
    </row>
    <row r="106" spans="12:13" x14ac:dyDescent="0.25">
      <c r="L106" s="178"/>
      <c r="M106" s="178"/>
    </row>
    <row r="107" spans="12:13" x14ac:dyDescent="0.25">
      <c r="L107" s="178"/>
      <c r="M107" s="178"/>
    </row>
  </sheetData>
  <mergeCells count="18">
    <mergeCell ref="L8:L9"/>
    <mergeCell ref="M8:M9"/>
    <mergeCell ref="L15:L16"/>
    <mergeCell ref="G15:G16"/>
    <mergeCell ref="H15:H16"/>
    <mergeCell ref="I15:I16"/>
    <mergeCell ref="J15:J16"/>
    <mergeCell ref="K15:K16"/>
    <mergeCell ref="M38:M39"/>
    <mergeCell ref="B41:B47"/>
    <mergeCell ref="A19:A24"/>
    <mergeCell ref="A10:A12"/>
    <mergeCell ref="A38:A39"/>
    <mergeCell ref="A30:A32"/>
    <mergeCell ref="B38:B39"/>
    <mergeCell ref="B31:B32"/>
    <mergeCell ref="B19:B20"/>
    <mergeCell ref="M30:M35"/>
  </mergeCells>
  <conditionalFormatting sqref="L5:L8">
    <cfRule type="cellIs" dxfId="431" priority="1" operator="equal">
      <formula>$P$7</formula>
    </cfRule>
    <cfRule type="cellIs" dxfId="430" priority="2" operator="equal">
      <formula>$P$6</formula>
    </cfRule>
    <cfRule type="cellIs" dxfId="429" priority="3" operator="equal">
      <formula>$P$5</formula>
    </cfRule>
    <cfRule type="cellIs" dxfId="428" priority="4" operator="notEqual">
      <formula>$P$4</formula>
    </cfRule>
  </conditionalFormatting>
  <conditionalFormatting sqref="L15">
    <cfRule type="cellIs" dxfId="427" priority="21" operator="equal">
      <formula>$P$7</formula>
    </cfRule>
    <cfRule type="cellIs" dxfId="426" priority="22" operator="equal">
      <formula>$P$6</formula>
    </cfRule>
    <cfRule type="cellIs" dxfId="425" priority="23" operator="equal">
      <formula>$P$5</formula>
    </cfRule>
    <cfRule type="cellIs" dxfId="424" priority="24" operator="notEqual">
      <formula>$P$4</formula>
    </cfRule>
  </conditionalFormatting>
  <conditionalFormatting sqref="L19:L26">
    <cfRule type="cellIs" dxfId="423" priority="17" operator="equal">
      <formula>$P$7</formula>
    </cfRule>
    <cfRule type="cellIs" dxfId="422" priority="18" operator="equal">
      <formula>$P$6</formula>
    </cfRule>
    <cfRule type="cellIs" dxfId="421" priority="19" operator="equal">
      <formula>$P$5</formula>
    </cfRule>
    <cfRule type="cellIs" dxfId="420" priority="20" operator="notEqual">
      <formula>$P$4</formula>
    </cfRule>
  </conditionalFormatting>
  <conditionalFormatting sqref="L30:L35">
    <cfRule type="cellIs" dxfId="419" priority="13" operator="equal">
      <formula>$P$7</formula>
    </cfRule>
    <cfRule type="cellIs" dxfId="418" priority="14" operator="equal">
      <formula>$P$6</formula>
    </cfRule>
    <cfRule type="cellIs" dxfId="417" priority="15" operator="equal">
      <formula>$P$5</formula>
    </cfRule>
    <cfRule type="cellIs" dxfId="416" priority="16" operator="notEqual">
      <formula>$P$4</formula>
    </cfRule>
  </conditionalFormatting>
  <conditionalFormatting sqref="L38:L39">
    <cfRule type="cellIs" dxfId="415" priority="9" operator="equal">
      <formula>$P$7</formula>
    </cfRule>
    <cfRule type="cellIs" dxfId="414" priority="10" operator="equal">
      <formula>$P$6</formula>
    </cfRule>
    <cfRule type="cellIs" dxfId="413" priority="11" operator="equal">
      <formula>$P$5</formula>
    </cfRule>
    <cfRule type="cellIs" dxfId="412" priority="12" operator="notEqual">
      <formula>$P$4</formula>
    </cfRule>
  </conditionalFormatting>
  <conditionalFormatting sqref="L10:L12">
    <cfRule type="cellIs" dxfId="411" priority="5" operator="equal">
      <formula>$P$7</formula>
    </cfRule>
    <cfRule type="cellIs" dxfId="410" priority="6" operator="equal">
      <formula>$P$6</formula>
    </cfRule>
    <cfRule type="cellIs" dxfId="409" priority="7" operator="equal">
      <formula>$P$5</formula>
    </cfRule>
    <cfRule type="cellIs" dxfId="408" priority="8" operator="notEqual">
      <formula>$P$4</formula>
    </cfRule>
  </conditionalFormatting>
  <dataValidations count="1">
    <dataValidation type="list" allowBlank="1" showInputMessage="1" showErrorMessage="1" sqref="L10:L12 L19:L26 L30:L35 L38:L39 L5:L8 L15" xr:uid="{7C6AFCC6-6198-467F-97EA-12EF1E5434CB}">
      <formula1>$P$4:$P$7</formula1>
    </dataValidation>
  </dataValidations>
  <pageMargins left="0.51181102362204722" right="0.51181102362204722" top="0.55118110236220474" bottom="0.55118110236220474" header="0.31496062992125984" footer="0.31496062992125984"/>
  <pageSetup paperSize="8"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S35"/>
  <sheetViews>
    <sheetView topLeftCell="A13" zoomScaleNormal="100" workbookViewId="0">
      <selection activeCell="V28" sqref="V28"/>
    </sheetView>
  </sheetViews>
  <sheetFormatPr defaultRowHeight="15" x14ac:dyDescent="0.25"/>
  <cols>
    <col min="1" max="1" width="20" customWidth="1"/>
    <col min="2" max="2" width="42.42578125" customWidth="1"/>
    <col min="3" max="3" width="40.7109375" customWidth="1"/>
    <col min="4" max="4" width="42.85546875" customWidth="1"/>
    <col min="5" max="6" width="8.140625" hidden="1" customWidth="1"/>
    <col min="7" max="7" width="7.85546875" hidden="1" customWidth="1"/>
    <col min="8" max="8" width="10" hidden="1" customWidth="1"/>
    <col min="9" max="10" width="7.28515625" hidden="1" customWidth="1"/>
    <col min="11" max="11" width="8.85546875" hidden="1" customWidth="1"/>
    <col min="12" max="12" width="10.85546875" customWidth="1"/>
    <col min="13" max="13" width="22.7109375" customWidth="1"/>
    <col min="17" max="18" width="0" hidden="1" customWidth="1"/>
    <col min="19" max="19" width="5.42578125" customWidth="1"/>
  </cols>
  <sheetData>
    <row r="1" spans="1:19" ht="18" x14ac:dyDescent="0.25">
      <c r="A1" s="1" t="s">
        <v>552</v>
      </c>
      <c r="J1" s="4"/>
      <c r="K1" s="573" t="s">
        <v>331</v>
      </c>
      <c r="M1" s="1014">
        <v>43586</v>
      </c>
    </row>
    <row r="2" spans="1:19" ht="6" customHeight="1" thickBot="1" x14ac:dyDescent="0.3"/>
    <row r="3" spans="1:19" s="176" customFormat="1" ht="16.5" customHeight="1" x14ac:dyDescent="0.25">
      <c r="A3" s="293" t="s">
        <v>197</v>
      </c>
      <c r="B3" s="294"/>
      <c r="C3" s="294"/>
      <c r="D3" s="294"/>
      <c r="E3" s="294"/>
      <c r="F3" s="294"/>
      <c r="G3" s="294"/>
      <c r="H3" s="294"/>
      <c r="I3" s="294"/>
      <c r="J3" s="294"/>
      <c r="K3" s="296"/>
      <c r="L3" s="294"/>
      <c r="M3" s="296"/>
    </row>
    <row r="4" spans="1:19" s="176" customFormat="1" ht="30"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Q4" s="945"/>
    </row>
    <row r="5" spans="1:19" s="176" customFormat="1" ht="29.25" customHeight="1" x14ac:dyDescent="0.25">
      <c r="A5" s="1049" t="s">
        <v>205</v>
      </c>
      <c r="B5" s="144" t="s">
        <v>39</v>
      </c>
      <c r="C5" s="147" t="s">
        <v>42</v>
      </c>
      <c r="D5" s="415" t="s">
        <v>46</v>
      </c>
      <c r="E5" s="72"/>
      <c r="F5" s="767">
        <v>5.0000000000000001E-3</v>
      </c>
      <c r="G5" s="523">
        <f>0.005*157787.475</f>
        <v>788.93737500000009</v>
      </c>
      <c r="H5" s="316">
        <v>730</v>
      </c>
      <c r="I5" s="726">
        <f>G5+H5</f>
        <v>1518.937375</v>
      </c>
      <c r="J5" s="727">
        <v>1</v>
      </c>
      <c r="K5" s="728">
        <f>I5*J5</f>
        <v>1518.937375</v>
      </c>
      <c r="L5" s="960" t="s">
        <v>136</v>
      </c>
      <c r="M5" s="941" t="s">
        <v>621</v>
      </c>
      <c r="N5" s="1083"/>
      <c r="O5" s="1084"/>
      <c r="P5" s="1084"/>
      <c r="Q5" s="1084"/>
      <c r="R5" s="1084"/>
      <c r="S5" s="1084"/>
    </row>
    <row r="6" spans="1:19" ht="40.5" customHeight="1" x14ac:dyDescent="0.25">
      <c r="A6" s="1050"/>
      <c r="B6" s="144" t="s">
        <v>671</v>
      </c>
      <c r="C6" s="144" t="s">
        <v>45</v>
      </c>
      <c r="D6" s="144" t="s">
        <v>366</v>
      </c>
      <c r="E6" s="8"/>
      <c r="F6" s="12"/>
      <c r="G6" s="12"/>
      <c r="H6" s="12"/>
      <c r="I6" s="12"/>
      <c r="J6" s="12"/>
      <c r="K6" s="14"/>
      <c r="L6" s="960" t="s">
        <v>136</v>
      </c>
      <c r="M6" s="1006" t="s">
        <v>622</v>
      </c>
      <c r="Q6" s="947"/>
      <c r="R6" s="176"/>
    </row>
    <row r="7" spans="1:19" ht="29.25" customHeight="1" x14ac:dyDescent="0.25">
      <c r="A7" s="223"/>
      <c r="B7" s="413" t="s">
        <v>41</v>
      </c>
      <c r="C7" s="413" t="s">
        <v>43</v>
      </c>
      <c r="D7" s="717" t="s">
        <v>333</v>
      </c>
      <c r="E7" s="7"/>
      <c r="F7" s="7"/>
      <c r="G7" s="12"/>
      <c r="H7" s="13"/>
      <c r="I7" s="12"/>
      <c r="J7" s="13"/>
      <c r="K7" s="34"/>
      <c r="L7" s="960" t="s">
        <v>136</v>
      </c>
      <c r="M7" s="988" t="s">
        <v>673</v>
      </c>
      <c r="Q7" s="948"/>
      <c r="R7" s="176"/>
    </row>
    <row r="8" spans="1:19" ht="27.75" customHeight="1" thickBot="1" x14ac:dyDescent="0.3">
      <c r="A8" s="223"/>
      <c r="B8" s="144" t="s">
        <v>37</v>
      </c>
      <c r="C8" s="144" t="s">
        <v>44</v>
      </c>
      <c r="D8" s="336" t="s">
        <v>47</v>
      </c>
      <c r="E8" s="7"/>
      <c r="F8" s="7"/>
      <c r="G8" s="12"/>
      <c r="H8" s="13"/>
      <c r="I8" s="12"/>
      <c r="J8" s="13"/>
      <c r="K8" s="34"/>
      <c r="L8" s="960" t="s">
        <v>136</v>
      </c>
      <c r="M8" s="988" t="s">
        <v>672</v>
      </c>
    </row>
    <row r="9" spans="1:19" ht="15.75" x14ac:dyDescent="0.25">
      <c r="A9" s="207" t="s">
        <v>198</v>
      </c>
      <c r="B9" s="208"/>
      <c r="C9" s="208"/>
      <c r="D9" s="208"/>
      <c r="E9" s="208"/>
      <c r="F9" s="208"/>
      <c r="G9" s="208"/>
      <c r="H9" s="208"/>
      <c r="I9" s="208"/>
      <c r="J9" s="208"/>
      <c r="K9" s="211"/>
      <c r="L9" s="691"/>
      <c r="M9" s="692"/>
    </row>
    <row r="10" spans="1:19" ht="30.75"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9" ht="40.5" customHeight="1" x14ac:dyDescent="0.25">
      <c r="A11" s="1049" t="s">
        <v>204</v>
      </c>
      <c r="B11" s="3" t="s">
        <v>6</v>
      </c>
      <c r="C11" s="1053" t="s">
        <v>27</v>
      </c>
      <c r="D11" s="570" t="s">
        <v>257</v>
      </c>
      <c r="E11" s="7"/>
      <c r="F11" s="797">
        <v>2.4400000000000002E-2</v>
      </c>
      <c r="G11" s="937">
        <f>F11*(176702*1.025)</f>
        <v>4419.3170200000004</v>
      </c>
      <c r="H11" s="330" t="s">
        <v>22</v>
      </c>
      <c r="I11" s="524">
        <f>G11</f>
        <v>4419.3170200000004</v>
      </c>
      <c r="J11" s="725">
        <v>1</v>
      </c>
      <c r="K11" s="523">
        <f>I11*J11</f>
        <v>4419.3170200000004</v>
      </c>
      <c r="L11" s="1066" t="s">
        <v>136</v>
      </c>
      <c r="M11" s="938"/>
    </row>
    <row r="12" spans="1:19" s="176" customFormat="1" ht="41.25" customHeight="1" thickBot="1" x14ac:dyDescent="0.3">
      <c r="A12" s="1050"/>
      <c r="B12" s="180" t="s">
        <v>7</v>
      </c>
      <c r="C12" s="1051"/>
      <c r="D12" s="931"/>
      <c r="E12" s="7"/>
      <c r="F12" s="375"/>
      <c r="G12" s="936"/>
      <c r="H12" s="330"/>
      <c r="I12" s="524"/>
      <c r="J12" s="935"/>
      <c r="K12" s="523"/>
      <c r="L12" s="1067"/>
      <c r="M12" s="938"/>
    </row>
    <row r="13" spans="1:19" s="176" customFormat="1" ht="17.25" customHeight="1" x14ac:dyDescent="0.25">
      <c r="A13" s="792" t="s">
        <v>209</v>
      </c>
      <c r="B13" s="625"/>
      <c r="C13" s="625"/>
      <c r="D13" s="625"/>
      <c r="E13" s="625"/>
      <c r="F13" s="625"/>
      <c r="G13" s="625"/>
      <c r="H13" s="625"/>
      <c r="I13" s="625"/>
      <c r="J13" s="625"/>
      <c r="K13" s="626"/>
      <c r="L13" s="625"/>
      <c r="M13" s="626"/>
    </row>
    <row r="14" spans="1:19" s="176" customFormat="1" ht="30" customHeight="1" thickBot="1" x14ac:dyDescent="0.3">
      <c r="A14" s="627" t="s">
        <v>0</v>
      </c>
      <c r="B14" s="628" t="s">
        <v>1</v>
      </c>
      <c r="C14" s="628" t="s">
        <v>14</v>
      </c>
      <c r="D14" s="628" t="s">
        <v>32</v>
      </c>
      <c r="E14" s="628" t="s">
        <v>18</v>
      </c>
      <c r="F14" s="628" t="s">
        <v>30</v>
      </c>
      <c r="G14" s="628" t="s">
        <v>2</v>
      </c>
      <c r="H14" s="628" t="s">
        <v>3</v>
      </c>
      <c r="I14" s="628" t="s">
        <v>4</v>
      </c>
      <c r="J14" s="628" t="s">
        <v>29</v>
      </c>
      <c r="K14" s="629" t="s">
        <v>56</v>
      </c>
      <c r="L14" s="628" t="s">
        <v>18</v>
      </c>
      <c r="M14" s="629" t="s">
        <v>495</v>
      </c>
    </row>
    <row r="15" spans="1:19" s="176" customFormat="1" ht="39.75" customHeight="1" x14ac:dyDescent="0.25">
      <c r="A15" s="1049" t="s">
        <v>210</v>
      </c>
      <c r="B15" s="1000" t="s">
        <v>451</v>
      </c>
      <c r="C15" s="978" t="s">
        <v>499</v>
      </c>
      <c r="D15" s="757" t="s">
        <v>452</v>
      </c>
      <c r="E15" s="69"/>
      <c r="F15" s="760">
        <v>7.4999999999999997E-3</v>
      </c>
      <c r="G15" s="609">
        <f>F15*(176702*1.05)</f>
        <v>1391.5282500000001</v>
      </c>
      <c r="H15" s="473">
        <v>0</v>
      </c>
      <c r="I15" s="472">
        <f>G15</f>
        <v>1391.5282500000001</v>
      </c>
      <c r="J15" s="485">
        <v>1</v>
      </c>
      <c r="K15" s="486">
        <f>I15*J15</f>
        <v>1391.5282500000001</v>
      </c>
      <c r="M15" s="1010"/>
    </row>
    <row r="16" spans="1:19" s="176" customFormat="1" ht="28.5" customHeight="1" thickBot="1" x14ac:dyDescent="0.3">
      <c r="A16" s="1050"/>
      <c r="B16" s="979" t="s">
        <v>36</v>
      </c>
      <c r="C16" s="979" t="s">
        <v>38</v>
      </c>
      <c r="D16" s="980" t="s">
        <v>514</v>
      </c>
      <c r="E16" s="70"/>
      <c r="F16" s="233"/>
      <c r="G16" s="34"/>
      <c r="H16" s="34"/>
      <c r="I16" s="34"/>
      <c r="J16" s="34"/>
      <c r="K16" s="187"/>
      <c r="M16" s="1011"/>
    </row>
    <row r="17" spans="1:13" ht="16.5" customHeight="1" thickBot="1" x14ac:dyDescent="0.3">
      <c r="A17" s="36" t="s">
        <v>199</v>
      </c>
      <c r="B17" s="23"/>
      <c r="C17" s="24"/>
      <c r="D17" s="25"/>
      <c r="E17" s="26"/>
      <c r="F17" s="26"/>
      <c r="G17" s="27"/>
      <c r="H17" s="27"/>
      <c r="I17" s="27"/>
      <c r="J17" s="27"/>
      <c r="K17" s="28"/>
      <c r="L17" s="25"/>
      <c r="M17" s="944"/>
    </row>
    <row r="18" spans="1:13" ht="19.5" customHeight="1" x14ac:dyDescent="0.25">
      <c r="A18" s="193" t="s">
        <v>200</v>
      </c>
      <c r="B18" s="194"/>
      <c r="C18" s="194"/>
      <c r="D18" s="194"/>
      <c r="E18" s="194"/>
      <c r="F18" s="194"/>
      <c r="G18" s="194"/>
      <c r="H18" s="194"/>
      <c r="I18" s="194"/>
      <c r="J18" s="194"/>
      <c r="K18" s="195"/>
      <c r="L18" s="194"/>
      <c r="M18" s="195"/>
    </row>
    <row r="19" spans="1:13" ht="31.5" customHeight="1" thickBot="1" x14ac:dyDescent="0.3">
      <c r="A19" s="279" t="s">
        <v>0</v>
      </c>
      <c r="B19" s="267" t="s">
        <v>1</v>
      </c>
      <c r="C19" s="280" t="s">
        <v>14</v>
      </c>
      <c r="D19" s="267" t="s">
        <v>17</v>
      </c>
      <c r="E19" s="268" t="s">
        <v>18</v>
      </c>
      <c r="F19" s="268" t="s">
        <v>30</v>
      </c>
      <c r="G19" s="268" t="s">
        <v>2</v>
      </c>
      <c r="H19" s="280" t="s">
        <v>3</v>
      </c>
      <c r="I19" s="267" t="s">
        <v>4</v>
      </c>
      <c r="J19" s="280" t="s">
        <v>5</v>
      </c>
      <c r="K19" s="281" t="s">
        <v>31</v>
      </c>
      <c r="L19" s="267" t="s">
        <v>18</v>
      </c>
      <c r="M19" s="281" t="s">
        <v>495</v>
      </c>
    </row>
    <row r="20" spans="1:13" ht="28.5" customHeight="1" x14ac:dyDescent="0.25">
      <c r="A20" s="29" t="s">
        <v>202</v>
      </c>
      <c r="B20" s="1053" t="s">
        <v>8</v>
      </c>
      <c r="C20" s="242" t="s">
        <v>9</v>
      </c>
      <c r="D20" s="242" t="s">
        <v>34</v>
      </c>
      <c r="E20" s="60"/>
      <c r="F20" s="604">
        <v>2.9600000000000001E-2</v>
      </c>
      <c r="G20" s="472"/>
      <c r="H20" s="473">
        <f>445*1.025</f>
        <v>456.12499999999994</v>
      </c>
      <c r="I20" s="474">
        <f>G20+H20</f>
        <v>456.12499999999994</v>
      </c>
      <c r="J20" s="475">
        <v>1</v>
      </c>
      <c r="K20" s="476">
        <f>I20*J20</f>
        <v>456.12499999999994</v>
      </c>
      <c r="L20" s="960" t="s">
        <v>136</v>
      </c>
      <c r="M20" s="1012" t="s">
        <v>535</v>
      </c>
    </row>
    <row r="21" spans="1:13" ht="27" customHeight="1" thickBot="1" x14ac:dyDescent="0.3">
      <c r="A21" s="222"/>
      <c r="B21" s="1051"/>
      <c r="C21" s="179" t="s">
        <v>280</v>
      </c>
      <c r="D21" s="179" t="s">
        <v>35</v>
      </c>
      <c r="E21" s="7"/>
      <c r="F21" s="7"/>
      <c r="G21" s="185"/>
      <c r="H21" s="185"/>
      <c r="I21" s="186"/>
      <c r="J21" s="185"/>
      <c r="K21" s="192"/>
      <c r="L21" s="960" t="s">
        <v>136</v>
      </c>
      <c r="M21" s="1012" t="s">
        <v>523</v>
      </c>
    </row>
    <row r="22" spans="1:13" ht="15.75" x14ac:dyDescent="0.25">
      <c r="A22" s="205" t="s">
        <v>201</v>
      </c>
      <c r="B22" s="206"/>
      <c r="C22" s="206"/>
      <c r="D22" s="206"/>
      <c r="E22" s="206"/>
      <c r="F22" s="206"/>
      <c r="G22" s="206"/>
      <c r="H22" s="206"/>
      <c r="I22" s="206"/>
      <c r="J22" s="206"/>
      <c r="K22" s="210"/>
      <c r="L22" s="206"/>
      <c r="M22" s="210"/>
    </row>
    <row r="23" spans="1:13" ht="30.75" customHeight="1" thickBot="1" x14ac:dyDescent="0.3">
      <c r="A23" s="271" t="s">
        <v>0</v>
      </c>
      <c r="B23" s="266" t="s">
        <v>1</v>
      </c>
      <c r="C23" s="272" t="s">
        <v>14</v>
      </c>
      <c r="D23" s="266" t="s">
        <v>17</v>
      </c>
      <c r="E23" s="266" t="s">
        <v>18</v>
      </c>
      <c r="F23" s="266" t="s">
        <v>30</v>
      </c>
      <c r="G23" s="266" t="s">
        <v>2</v>
      </c>
      <c r="H23" s="272" t="s">
        <v>3</v>
      </c>
      <c r="I23" s="266" t="s">
        <v>4</v>
      </c>
      <c r="J23" s="272" t="s">
        <v>5</v>
      </c>
      <c r="K23" s="273" t="s">
        <v>31</v>
      </c>
      <c r="L23" s="266" t="s">
        <v>18</v>
      </c>
      <c r="M23" s="273" t="s">
        <v>495</v>
      </c>
    </row>
    <row r="24" spans="1:13" ht="27.75" customHeight="1" x14ac:dyDescent="0.25">
      <c r="A24" s="10" t="s">
        <v>203</v>
      </c>
      <c r="B24" s="1053" t="s">
        <v>10</v>
      </c>
      <c r="C24" s="462" t="s">
        <v>19</v>
      </c>
      <c r="D24" s="103" t="s">
        <v>245</v>
      </c>
      <c r="E24" s="30"/>
      <c r="F24" s="601">
        <v>0</v>
      </c>
      <c r="G24" s="487">
        <v>0</v>
      </c>
      <c r="H24" s="594">
        <f>12*21.42</f>
        <v>257.04000000000002</v>
      </c>
      <c r="I24" s="595">
        <f>H24</f>
        <v>257.04000000000002</v>
      </c>
      <c r="J24" s="475">
        <v>1</v>
      </c>
      <c r="K24" s="949">
        <f>+J24*I24</f>
        <v>257.04000000000002</v>
      </c>
      <c r="L24" s="960" t="s">
        <v>136</v>
      </c>
      <c r="M24" s="1039" t="s">
        <v>548</v>
      </c>
    </row>
    <row r="25" spans="1:13" ht="29.25" customHeight="1" thickBot="1" x14ac:dyDescent="0.3">
      <c r="A25" s="20"/>
      <c r="B25" s="1054"/>
      <c r="C25" s="463" t="s">
        <v>11</v>
      </c>
      <c r="D25" s="196" t="s">
        <v>246</v>
      </c>
      <c r="E25" s="11"/>
      <c r="F25" s="11"/>
      <c r="G25" s="17"/>
      <c r="H25" s="18"/>
      <c r="I25" s="52"/>
      <c r="J25" s="18"/>
      <c r="K25" s="437"/>
      <c r="L25" s="961" t="s">
        <v>136</v>
      </c>
      <c r="M25" s="1040"/>
    </row>
    <row r="26" spans="1:13" ht="5.25" customHeight="1" thickBot="1" x14ac:dyDescent="0.3">
      <c r="B26" s="536"/>
      <c r="C26" s="536"/>
      <c r="D26" s="536"/>
      <c r="G26" s="877" t="s">
        <v>432</v>
      </c>
      <c r="I26" s="545" t="s">
        <v>434</v>
      </c>
    </row>
    <row r="27" spans="1:13" ht="15.75" hidden="1" thickBot="1" x14ac:dyDescent="0.3">
      <c r="A27" s="2"/>
      <c r="B27" s="1045" t="s">
        <v>12</v>
      </c>
      <c r="C27" s="218" t="s">
        <v>48</v>
      </c>
      <c r="D27" s="79"/>
      <c r="E27" s="5"/>
      <c r="F27" s="5"/>
      <c r="G27" s="882">
        <v>128439</v>
      </c>
      <c r="I27" s="545" t="s">
        <v>435</v>
      </c>
    </row>
    <row r="28" spans="1:13" ht="14.25" customHeight="1" thickBot="1" x14ac:dyDescent="0.3">
      <c r="A28" s="2"/>
      <c r="B28" s="1046"/>
      <c r="C28" s="1185" t="s">
        <v>49</v>
      </c>
      <c r="D28" s="80">
        <v>4419.3170200000004</v>
      </c>
      <c r="E28" s="5"/>
      <c r="F28" s="5"/>
      <c r="G28" s="883">
        <v>4312</v>
      </c>
      <c r="I28" s="545"/>
    </row>
    <row r="29" spans="1:13" ht="15.75" thickBot="1" x14ac:dyDescent="0.3">
      <c r="A29" s="2"/>
      <c r="B29" s="1046"/>
      <c r="C29" s="1185" t="s">
        <v>50</v>
      </c>
      <c r="D29" s="80">
        <v>1518.937375</v>
      </c>
      <c r="E29" s="5"/>
      <c r="F29" s="5"/>
      <c r="G29" s="883">
        <v>1482</v>
      </c>
      <c r="H29" s="545"/>
      <c r="I29" s="545"/>
    </row>
    <row r="30" spans="1:13" ht="14.25" customHeight="1" thickBot="1" x14ac:dyDescent="0.3">
      <c r="A30" s="2"/>
      <c r="B30" s="1046"/>
      <c r="C30" s="1186" t="s">
        <v>51</v>
      </c>
      <c r="D30" s="80">
        <v>456.12499999999994</v>
      </c>
      <c r="E30" s="6"/>
      <c r="F30" s="6"/>
      <c r="G30" s="884">
        <v>3991</v>
      </c>
    </row>
    <row r="31" spans="1:13" ht="15.75" thickBot="1" x14ac:dyDescent="0.3">
      <c r="A31" s="2"/>
      <c r="B31" s="1046"/>
      <c r="C31" s="81" t="s">
        <v>52</v>
      </c>
      <c r="D31" s="80">
        <v>257.04000000000002</v>
      </c>
      <c r="E31" s="6"/>
      <c r="F31" s="6"/>
      <c r="G31" s="885">
        <v>262.56</v>
      </c>
    </row>
    <row r="32" spans="1:13" ht="15.75" thickBot="1" x14ac:dyDescent="0.3">
      <c r="A32" s="2"/>
      <c r="B32" s="1086"/>
      <c r="C32" s="722" t="s">
        <v>23</v>
      </c>
      <c r="D32" s="723">
        <v>6651.4193949999999</v>
      </c>
      <c r="E32" s="6"/>
      <c r="F32" s="6"/>
      <c r="G32" s="889" t="s">
        <v>436</v>
      </c>
      <c r="H32" s="176"/>
    </row>
    <row r="33" spans="1:6" s="176" customFormat="1" x14ac:dyDescent="0.25">
      <c r="B33" s="526"/>
      <c r="C33" s="1195"/>
      <c r="D33" s="1196"/>
      <c r="E33" s="183"/>
      <c r="F33" s="183"/>
    </row>
    <row r="34" spans="1:6" x14ac:dyDescent="0.25">
      <c r="A34" s="176"/>
      <c r="B34" s="83"/>
      <c r="D34" s="545"/>
      <c r="E34" s="55"/>
      <c r="F34" s="55"/>
    </row>
    <row r="35" spans="1:6" x14ac:dyDescent="0.25">
      <c r="B35" s="84"/>
      <c r="C35" s="1085"/>
      <c r="D35" s="1085"/>
      <c r="E35" s="47"/>
      <c r="F35" s="47"/>
    </row>
  </sheetData>
  <mergeCells count="11">
    <mergeCell ref="M24:M25"/>
    <mergeCell ref="N5:S5"/>
    <mergeCell ref="A5:A6"/>
    <mergeCell ref="B20:B21"/>
    <mergeCell ref="C35:D35"/>
    <mergeCell ref="B27:B32"/>
    <mergeCell ref="B24:B25"/>
    <mergeCell ref="A11:A12"/>
    <mergeCell ref="C11:C12"/>
    <mergeCell ref="A15:A16"/>
    <mergeCell ref="L11:L12"/>
  </mergeCells>
  <conditionalFormatting sqref="L24:L25">
    <cfRule type="cellIs" dxfId="407" priority="5" operator="equal">
      <formula>$P$7</formula>
    </cfRule>
    <cfRule type="cellIs" dxfId="406" priority="6" operator="equal">
      <formula>$P$6</formula>
    </cfRule>
    <cfRule type="cellIs" dxfId="405" priority="7" operator="equal">
      <formula>$P$5</formula>
    </cfRule>
    <cfRule type="cellIs" dxfId="404" priority="8" operator="notEqual">
      <formula>$P$4</formula>
    </cfRule>
  </conditionalFormatting>
  <conditionalFormatting sqref="L5:L8">
    <cfRule type="cellIs" dxfId="403" priority="21" operator="equal">
      <formula>$P$7</formula>
    </cfRule>
    <cfRule type="cellIs" dxfId="402" priority="22" operator="equal">
      <formula>$P$6</formula>
    </cfRule>
    <cfRule type="cellIs" dxfId="401" priority="23" operator="equal">
      <formula>$P$5</formula>
    </cfRule>
    <cfRule type="cellIs" dxfId="400" priority="24" operator="notEqual">
      <formula>$P$4</formula>
    </cfRule>
  </conditionalFormatting>
  <conditionalFormatting sqref="L11">
    <cfRule type="cellIs" dxfId="399" priority="17" operator="equal">
      <formula>$P$7</formula>
    </cfRule>
    <cfRule type="cellIs" dxfId="398" priority="18" operator="equal">
      <formula>$P$6</formula>
    </cfRule>
    <cfRule type="cellIs" dxfId="397" priority="19" operator="equal">
      <formula>$P$5</formula>
    </cfRule>
    <cfRule type="cellIs" dxfId="396" priority="20" operator="notEqual">
      <formula>$P$4</formula>
    </cfRule>
  </conditionalFormatting>
  <conditionalFormatting sqref="L20:L21">
    <cfRule type="cellIs" dxfId="395" priority="9" operator="equal">
      <formula>$P$7</formula>
    </cfRule>
    <cfRule type="cellIs" dxfId="394" priority="10" operator="equal">
      <formula>$P$6</formula>
    </cfRule>
    <cfRule type="cellIs" dxfId="393" priority="11" operator="equal">
      <formula>$P$5</formula>
    </cfRule>
    <cfRule type="cellIs" dxfId="392" priority="12" operator="notEqual">
      <formula>$P$4</formula>
    </cfRule>
  </conditionalFormatting>
  <dataValidations count="1">
    <dataValidation type="list" allowBlank="1" showInputMessage="1" showErrorMessage="1" sqref="L5:L8 L24:L25 L20:L21 L11" xr:uid="{41545325-E8AF-42AB-BC26-1B2DF2009418}">
      <formula1>$P$4:$P$7</formula1>
    </dataValidation>
  </dataValidations>
  <pageMargins left="0.7" right="0.7" top="0.75" bottom="0.75" header="0.3" footer="0.3"/>
  <pageSetup paperSize="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R35"/>
  <sheetViews>
    <sheetView zoomScaleNormal="100" workbookViewId="0">
      <selection activeCell="B6" sqref="B6"/>
    </sheetView>
  </sheetViews>
  <sheetFormatPr defaultRowHeight="15" x14ac:dyDescent="0.25"/>
  <cols>
    <col min="1" max="1" width="17" customWidth="1"/>
    <col min="2" max="2" width="44.7109375" customWidth="1"/>
    <col min="3" max="3" width="41.5703125" customWidth="1"/>
    <col min="4" max="4" width="36.5703125" customWidth="1"/>
    <col min="5" max="5" width="8.140625" hidden="1" customWidth="1"/>
    <col min="6" max="6" width="6.85546875" hidden="1" customWidth="1"/>
    <col min="7" max="7" width="7.85546875" hidden="1" customWidth="1"/>
    <col min="8" max="8" width="10" hidden="1" customWidth="1"/>
    <col min="9" max="10" width="7.28515625" hidden="1" customWidth="1"/>
    <col min="11" max="11" width="8.85546875" hidden="1" customWidth="1"/>
    <col min="13" max="13" width="38.42578125" customWidth="1"/>
    <col min="17" max="18" width="0" hidden="1" customWidth="1"/>
  </cols>
  <sheetData>
    <row r="1" spans="1:18" ht="18" x14ac:dyDescent="0.25">
      <c r="A1" s="735" t="s">
        <v>553</v>
      </c>
      <c r="J1" s="4"/>
      <c r="K1" s="573" t="s">
        <v>331</v>
      </c>
      <c r="M1" s="1014">
        <v>43586</v>
      </c>
    </row>
    <row r="2" spans="1:18" ht="4.5" customHeight="1" thickBot="1" x14ac:dyDescent="0.3"/>
    <row r="3" spans="1:18" ht="15.75" x14ac:dyDescent="0.25">
      <c r="A3" s="632" t="s">
        <v>197</v>
      </c>
      <c r="B3" s="633"/>
      <c r="C3" s="633"/>
      <c r="D3" s="633"/>
      <c r="E3" s="633"/>
      <c r="F3" s="633"/>
      <c r="G3" s="633"/>
      <c r="H3" s="633"/>
      <c r="I3" s="633"/>
      <c r="J3" s="633"/>
      <c r="K3" s="634"/>
      <c r="L3" s="294"/>
      <c r="M3" s="296"/>
      <c r="Q3" s="176"/>
      <c r="R3" s="176"/>
    </row>
    <row r="4" spans="1:18" ht="30.75"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Q4" s="945"/>
      <c r="R4" s="176" t="s">
        <v>136</v>
      </c>
    </row>
    <row r="5" spans="1:18" s="176" customFormat="1" ht="27.75" customHeight="1" x14ac:dyDescent="0.25">
      <c r="A5" s="1049" t="s">
        <v>205</v>
      </c>
      <c r="B5" s="144" t="s">
        <v>411</v>
      </c>
      <c r="C5" s="574" t="s">
        <v>42</v>
      </c>
      <c r="D5" s="789" t="s">
        <v>46</v>
      </c>
      <c r="E5" s="72"/>
      <c r="F5" s="798">
        <v>5.4400000000000004E-3</v>
      </c>
      <c r="G5" s="487">
        <v>770</v>
      </c>
      <c r="H5" s="488">
        <f>F5*157787.475</f>
        <v>858.36386400000015</v>
      </c>
      <c r="I5" s="488">
        <f>G5+H5</f>
        <v>1628.3638640000001</v>
      </c>
      <c r="J5" s="531">
        <v>1</v>
      </c>
      <c r="K5" s="788">
        <f>+I5*J5</f>
        <v>1628.3638640000001</v>
      </c>
      <c r="L5" s="960" t="s">
        <v>136</v>
      </c>
      <c r="M5" s="941" t="s">
        <v>624</v>
      </c>
      <c r="Q5" s="946"/>
      <c r="R5" s="176" t="s">
        <v>496</v>
      </c>
    </row>
    <row r="6" spans="1:18" s="176" customFormat="1" ht="42" customHeight="1" x14ac:dyDescent="0.25">
      <c r="A6" s="1050"/>
      <c r="B6" s="144" t="s">
        <v>671</v>
      </c>
      <c r="C6" s="144" t="s">
        <v>45</v>
      </c>
      <c r="D6" s="144" t="s">
        <v>666</v>
      </c>
      <c r="E6" s="8"/>
      <c r="F6" s="185"/>
      <c r="G6" s="185"/>
      <c r="H6" s="185"/>
      <c r="I6" s="185"/>
      <c r="J6" s="185"/>
      <c r="K6" s="187"/>
      <c r="L6" s="960" t="s">
        <v>136</v>
      </c>
      <c r="M6" s="1017" t="s">
        <v>622</v>
      </c>
      <c r="Q6" s="947"/>
      <c r="R6" s="176" t="s">
        <v>497</v>
      </c>
    </row>
    <row r="7" spans="1:18" ht="29.25" customHeight="1" x14ac:dyDescent="0.25">
      <c r="A7" s="223"/>
      <c r="B7" s="786" t="s">
        <v>393</v>
      </c>
      <c r="C7" s="786" t="s">
        <v>395</v>
      </c>
      <c r="D7" s="717" t="s">
        <v>332</v>
      </c>
      <c r="E7" s="7"/>
      <c r="F7" s="7"/>
      <c r="G7" s="185"/>
      <c r="H7" s="186"/>
      <c r="I7" s="185"/>
      <c r="J7" s="186"/>
      <c r="K7" s="187"/>
      <c r="L7" s="960" t="s">
        <v>136</v>
      </c>
      <c r="M7" s="987" t="s">
        <v>623</v>
      </c>
      <c r="Q7" s="948"/>
      <c r="R7" s="176" t="s">
        <v>498</v>
      </c>
    </row>
    <row r="8" spans="1:18" ht="39.75" customHeight="1" thickBot="1" x14ac:dyDescent="0.3">
      <c r="A8" s="223"/>
      <c r="B8" s="144" t="s">
        <v>394</v>
      </c>
      <c r="C8" s="144" t="s">
        <v>44</v>
      </c>
      <c r="D8" s="336" t="s">
        <v>47</v>
      </c>
      <c r="E8" s="7"/>
      <c r="F8" s="7"/>
      <c r="G8" s="185"/>
      <c r="H8" s="186"/>
      <c r="I8" s="185"/>
      <c r="J8" s="186"/>
      <c r="K8" s="187"/>
      <c r="L8" s="960" t="s">
        <v>136</v>
      </c>
      <c r="M8" s="988" t="s">
        <v>625</v>
      </c>
    </row>
    <row r="9" spans="1:18" ht="15.75" x14ac:dyDescent="0.25">
      <c r="A9" s="781" t="s">
        <v>198</v>
      </c>
      <c r="B9" s="208"/>
      <c r="C9" s="208"/>
      <c r="D9" s="208"/>
      <c r="E9" s="208"/>
      <c r="F9" s="208"/>
      <c r="G9" s="208"/>
      <c r="H9" s="208"/>
      <c r="I9" s="208"/>
      <c r="J9" s="208"/>
      <c r="K9" s="211"/>
      <c r="L9" s="691"/>
      <c r="M9" s="692"/>
    </row>
    <row r="10" spans="1:18" ht="29.25"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8" ht="39.75" customHeight="1" x14ac:dyDescent="0.25">
      <c r="A11" s="1050" t="s">
        <v>204</v>
      </c>
      <c r="B11" s="180" t="s">
        <v>6</v>
      </c>
      <c r="C11" s="1051" t="s">
        <v>27</v>
      </c>
      <c r="D11" s="787" t="s">
        <v>258</v>
      </c>
      <c r="E11" s="7"/>
      <c r="F11" s="799">
        <v>2.53E-2</v>
      </c>
      <c r="G11" s="1087">
        <f>F11*181119.55</f>
        <v>4582.3246149999995</v>
      </c>
      <c r="H11" s="1088" t="s">
        <v>22</v>
      </c>
      <c r="I11" s="1087">
        <f>G11</f>
        <v>4582.3246149999995</v>
      </c>
      <c r="J11" s="1089">
        <v>1</v>
      </c>
      <c r="K11" s="1090">
        <f>I11*J11</f>
        <v>4582.3246149999995</v>
      </c>
      <c r="L11" s="1066" t="s">
        <v>136</v>
      </c>
      <c r="M11" s="938"/>
    </row>
    <row r="12" spans="1:18" ht="39.75" customHeight="1" thickBot="1" x14ac:dyDescent="0.3">
      <c r="A12" s="1071"/>
      <c r="B12" s="180" t="s">
        <v>7</v>
      </c>
      <c r="C12" s="1051"/>
      <c r="D12" s="197"/>
      <c r="E12" s="496"/>
      <c r="F12" s="608"/>
      <c r="G12" s="1087"/>
      <c r="H12" s="1088"/>
      <c r="I12" s="1087"/>
      <c r="J12" s="1089"/>
      <c r="K12" s="1090"/>
      <c r="L12" s="1067"/>
      <c r="M12" s="938"/>
    </row>
    <row r="13" spans="1:18" s="176" customFormat="1" ht="16.5" customHeight="1" x14ac:dyDescent="0.25">
      <c r="A13" s="792" t="s">
        <v>209</v>
      </c>
      <c r="B13" s="625"/>
      <c r="C13" s="625"/>
      <c r="D13" s="625"/>
      <c r="E13" s="625"/>
      <c r="F13" s="625"/>
      <c r="G13" s="625"/>
      <c r="H13" s="625"/>
      <c r="I13" s="625"/>
      <c r="J13" s="625"/>
      <c r="K13" s="626"/>
      <c r="L13" s="625"/>
      <c r="M13" s="626"/>
    </row>
    <row r="14" spans="1:18" s="176" customFormat="1" ht="28.5" customHeight="1" thickBot="1" x14ac:dyDescent="0.3">
      <c r="A14" s="627" t="s">
        <v>0</v>
      </c>
      <c r="B14" s="628" t="s">
        <v>1</v>
      </c>
      <c r="C14" s="628" t="s">
        <v>14</v>
      </c>
      <c r="D14" s="628" t="s">
        <v>32</v>
      </c>
      <c r="E14" s="628" t="s">
        <v>18</v>
      </c>
      <c r="F14" s="628" t="s">
        <v>30</v>
      </c>
      <c r="G14" s="628" t="s">
        <v>2</v>
      </c>
      <c r="H14" s="628" t="s">
        <v>3</v>
      </c>
      <c r="I14" s="628" t="s">
        <v>4</v>
      </c>
      <c r="J14" s="628" t="s">
        <v>29</v>
      </c>
      <c r="K14" s="629" t="s">
        <v>15</v>
      </c>
      <c r="L14" s="628" t="s">
        <v>18</v>
      </c>
      <c r="M14" s="629" t="s">
        <v>495</v>
      </c>
    </row>
    <row r="15" spans="1:18" s="176" customFormat="1" ht="40.5" customHeight="1" x14ac:dyDescent="0.25">
      <c r="A15" s="1049" t="s">
        <v>210</v>
      </c>
      <c r="B15" s="940" t="s">
        <v>500</v>
      </c>
      <c r="C15" s="978" t="s">
        <v>499</v>
      </c>
      <c r="D15" s="757" t="s">
        <v>452</v>
      </c>
      <c r="E15" s="69"/>
      <c r="F15" s="760">
        <v>7.4999999999999997E-3</v>
      </c>
      <c r="G15" s="609">
        <f>F15*(1.025*153816)</f>
        <v>1182.4604999999999</v>
      </c>
      <c r="H15" s="473">
        <v>0</v>
      </c>
      <c r="I15" s="472">
        <f>G15+H15</f>
        <v>1182.4604999999999</v>
      </c>
      <c r="J15" s="485">
        <v>1</v>
      </c>
      <c r="K15" s="486">
        <f>I15*J15</f>
        <v>1182.4604999999999</v>
      </c>
      <c r="L15" s="960" t="s">
        <v>136</v>
      </c>
      <c r="M15" s="1091" t="s">
        <v>670</v>
      </c>
    </row>
    <row r="16" spans="1:18" s="176" customFormat="1" ht="38.25" customHeight="1" thickBot="1" x14ac:dyDescent="0.3">
      <c r="A16" s="1050"/>
      <c r="B16" s="979" t="s">
        <v>36</v>
      </c>
      <c r="C16" s="979" t="s">
        <v>38</v>
      </c>
      <c r="D16" s="980" t="s">
        <v>514</v>
      </c>
      <c r="E16" s="70"/>
      <c r="F16" s="530"/>
      <c r="G16" s="488"/>
      <c r="H16" s="487"/>
      <c r="I16" s="488"/>
      <c r="J16" s="531"/>
      <c r="K16" s="788"/>
      <c r="L16" s="960" t="s">
        <v>136</v>
      </c>
      <c r="M16" s="1092"/>
    </row>
    <row r="17" spans="1:13" ht="16.5" thickBot="1" x14ac:dyDescent="0.3">
      <c r="A17" s="793" t="s">
        <v>199</v>
      </c>
      <c r="B17" s="23"/>
      <c r="C17" s="24"/>
      <c r="D17" s="25"/>
      <c r="E17" s="26"/>
      <c r="F17" s="26"/>
      <c r="G17" s="27"/>
      <c r="H17" s="27"/>
      <c r="I17" s="27"/>
      <c r="J17" s="27"/>
      <c r="K17" s="28"/>
      <c r="L17" s="25"/>
      <c r="M17" s="944"/>
    </row>
    <row r="18" spans="1:13" ht="15.75" x14ac:dyDescent="0.25">
      <c r="A18" s="193" t="s">
        <v>200</v>
      </c>
      <c r="B18" s="194"/>
      <c r="C18" s="194"/>
      <c r="D18" s="194"/>
      <c r="E18" s="194"/>
      <c r="F18" s="194"/>
      <c r="G18" s="194"/>
      <c r="H18" s="194"/>
      <c r="I18" s="194"/>
      <c r="J18" s="194"/>
      <c r="K18" s="195"/>
      <c r="L18" s="194"/>
      <c r="M18" s="195"/>
    </row>
    <row r="19" spans="1:13" ht="33" customHeight="1" thickBot="1" x14ac:dyDescent="0.3">
      <c r="A19" s="279" t="s">
        <v>0</v>
      </c>
      <c r="B19" s="267" t="s">
        <v>1</v>
      </c>
      <c r="C19" s="280" t="s">
        <v>14</v>
      </c>
      <c r="D19" s="267" t="s">
        <v>17</v>
      </c>
      <c r="E19" s="268" t="s">
        <v>18</v>
      </c>
      <c r="F19" s="268" t="s">
        <v>30</v>
      </c>
      <c r="G19" s="268" t="s">
        <v>2</v>
      </c>
      <c r="H19" s="280" t="s">
        <v>3</v>
      </c>
      <c r="I19" s="267" t="s">
        <v>4</v>
      </c>
      <c r="J19" s="280" t="s">
        <v>5</v>
      </c>
      <c r="K19" s="281" t="s">
        <v>31</v>
      </c>
      <c r="L19" s="267" t="s">
        <v>18</v>
      </c>
      <c r="M19" s="281" t="s">
        <v>495</v>
      </c>
    </row>
    <row r="20" spans="1:13" ht="27.75" customHeight="1" x14ac:dyDescent="0.25">
      <c r="A20" s="1049" t="s">
        <v>202</v>
      </c>
      <c r="B20" s="1053" t="s">
        <v>8</v>
      </c>
      <c r="C20" s="242" t="s">
        <v>9</v>
      </c>
      <c r="D20" s="242" t="s">
        <v>34</v>
      </c>
      <c r="E20" s="60"/>
      <c r="F20" s="800">
        <v>2.7040000000000002E-2</v>
      </c>
      <c r="G20" s="472">
        <f>F20*131707.375</f>
        <v>3561.36742</v>
      </c>
      <c r="H20" s="473">
        <v>333</v>
      </c>
      <c r="I20" s="472">
        <f>G20+H20</f>
        <v>3894.36742</v>
      </c>
      <c r="J20" s="473">
        <v>100</v>
      </c>
      <c r="K20" s="486">
        <f>I20</f>
        <v>3894.36742</v>
      </c>
      <c r="L20" s="960" t="s">
        <v>136</v>
      </c>
      <c r="M20" s="1012" t="s">
        <v>536</v>
      </c>
    </row>
    <row r="21" spans="1:13" ht="28.5" customHeight="1" thickBot="1" x14ac:dyDescent="0.3">
      <c r="A21" s="1052"/>
      <c r="B21" s="1051"/>
      <c r="C21" s="179" t="s">
        <v>279</v>
      </c>
      <c r="D21" s="179" t="s">
        <v>35</v>
      </c>
      <c r="E21" s="7"/>
      <c r="F21" s="7"/>
      <c r="G21" s="185"/>
      <c r="H21" s="185"/>
      <c r="I21" s="186"/>
      <c r="J21" s="185"/>
      <c r="K21" s="192"/>
      <c r="L21" s="960" t="s">
        <v>136</v>
      </c>
      <c r="M21" s="1012" t="s">
        <v>524</v>
      </c>
    </row>
    <row r="22" spans="1:13" ht="15.75" x14ac:dyDescent="0.25">
      <c r="A22" s="205" t="s">
        <v>201</v>
      </c>
      <c r="B22" s="206"/>
      <c r="C22" s="206"/>
      <c r="D22" s="206"/>
      <c r="E22" s="206"/>
      <c r="F22" s="206"/>
      <c r="G22" s="206"/>
      <c r="H22" s="206"/>
      <c r="I22" s="206"/>
      <c r="J22" s="206"/>
      <c r="K22" s="210"/>
      <c r="L22" s="206"/>
      <c r="M22" s="210"/>
    </row>
    <row r="23" spans="1:13" ht="33" customHeight="1" thickBot="1" x14ac:dyDescent="0.3">
      <c r="A23" s="271" t="s">
        <v>0</v>
      </c>
      <c r="B23" s="266" t="s">
        <v>1</v>
      </c>
      <c r="C23" s="272" t="s">
        <v>14</v>
      </c>
      <c r="D23" s="266" t="s">
        <v>17</v>
      </c>
      <c r="E23" s="266" t="s">
        <v>18</v>
      </c>
      <c r="F23" s="266" t="s">
        <v>30</v>
      </c>
      <c r="G23" s="266" t="s">
        <v>2</v>
      </c>
      <c r="H23" s="272" t="s">
        <v>3</v>
      </c>
      <c r="I23" s="266" t="s">
        <v>4</v>
      </c>
      <c r="J23" s="272" t="s">
        <v>5</v>
      </c>
      <c r="K23" s="273" t="s">
        <v>31</v>
      </c>
      <c r="L23" s="266" t="s">
        <v>18</v>
      </c>
      <c r="M23" s="273" t="s">
        <v>495</v>
      </c>
    </row>
    <row r="24" spans="1:13" ht="27.75" customHeight="1" x14ac:dyDescent="0.25">
      <c r="A24" s="1049" t="s">
        <v>203</v>
      </c>
      <c r="B24" s="1053" t="s">
        <v>10</v>
      </c>
      <c r="C24" s="462" t="s">
        <v>19</v>
      </c>
      <c r="D24" s="103" t="s">
        <v>245</v>
      </c>
      <c r="E24" s="247"/>
      <c r="F24" s="610">
        <v>0</v>
      </c>
      <c r="G24" s="473">
        <v>0</v>
      </c>
      <c r="H24" s="611">
        <f>9*21.42</f>
        <v>192.78000000000003</v>
      </c>
      <c r="I24" s="611">
        <f>H24</f>
        <v>192.78000000000003</v>
      </c>
      <c r="J24" s="473">
        <v>100</v>
      </c>
      <c r="K24" s="612">
        <v>176</v>
      </c>
      <c r="L24" s="960" t="s">
        <v>136</v>
      </c>
      <c r="M24" s="1039" t="s">
        <v>548</v>
      </c>
    </row>
    <row r="25" spans="1:13" ht="28.5" customHeight="1" thickBot="1" x14ac:dyDescent="0.3">
      <c r="A25" s="1052"/>
      <c r="B25" s="1054"/>
      <c r="C25" s="463" t="s">
        <v>11</v>
      </c>
      <c r="D25" s="196" t="s">
        <v>246</v>
      </c>
      <c r="E25" s="248"/>
      <c r="F25" s="248"/>
      <c r="G25" s="189"/>
      <c r="H25" s="190"/>
      <c r="I25" s="249"/>
      <c r="J25" s="190"/>
      <c r="K25" s="437"/>
      <c r="L25" s="961" t="s">
        <v>136</v>
      </c>
      <c r="M25" s="1040"/>
    </row>
    <row r="26" spans="1:13" ht="3.75" customHeight="1" thickBot="1" x14ac:dyDescent="0.3">
      <c r="G26" s="890" t="s">
        <v>432</v>
      </c>
    </row>
    <row r="27" spans="1:13" ht="13.5" customHeight="1" thickBot="1" x14ac:dyDescent="0.3">
      <c r="A27" s="2"/>
      <c r="B27" s="1045" t="s">
        <v>12</v>
      </c>
      <c r="C27" s="702" t="s">
        <v>13</v>
      </c>
      <c r="D27" s="253">
        <v>1182.4604999999999</v>
      </c>
      <c r="E27" s="5"/>
      <c r="F27" s="5"/>
      <c r="G27" s="878">
        <v>1154</v>
      </c>
      <c r="H27" s="816"/>
      <c r="I27" s="816" t="s">
        <v>306</v>
      </c>
    </row>
    <row r="28" spans="1:13" ht="13.5" customHeight="1" thickBot="1" x14ac:dyDescent="0.3">
      <c r="A28" s="2"/>
      <c r="B28" s="1046"/>
      <c r="C28" s="1185" t="s">
        <v>20</v>
      </c>
      <c r="D28" s="254">
        <v>4582.3246149999995</v>
      </c>
      <c r="E28" s="5"/>
      <c r="F28" s="5"/>
      <c r="G28" s="872">
        <v>4471</v>
      </c>
      <c r="H28" s="816"/>
      <c r="I28" s="816"/>
      <c r="J28" s="816"/>
      <c r="K28" s="816"/>
    </row>
    <row r="29" spans="1:13" ht="13.5" customHeight="1" thickBot="1" x14ac:dyDescent="0.3">
      <c r="A29" s="2"/>
      <c r="B29" s="1046"/>
      <c r="C29" s="1185" t="s">
        <v>24</v>
      </c>
      <c r="D29" s="253">
        <v>1628.3638640000001</v>
      </c>
      <c r="E29" s="5"/>
      <c r="F29" s="5"/>
      <c r="G29" s="846">
        <v>1589</v>
      </c>
    </row>
    <row r="30" spans="1:13" ht="13.5" customHeight="1" thickBot="1" x14ac:dyDescent="0.3">
      <c r="A30" s="2"/>
      <c r="B30" s="1046"/>
      <c r="C30" s="1194" t="s">
        <v>21</v>
      </c>
      <c r="D30" s="1159">
        <v>4070.36742</v>
      </c>
      <c r="E30" s="6"/>
      <c r="F30" s="6"/>
      <c r="G30" s="872">
        <v>3966</v>
      </c>
    </row>
    <row r="31" spans="1:13" hidden="1" x14ac:dyDescent="0.25">
      <c r="A31" s="2"/>
      <c r="B31" s="1047"/>
      <c r="C31" s="45" t="s">
        <v>25</v>
      </c>
      <c r="D31" s="256">
        <v>3894.36742</v>
      </c>
      <c r="E31" s="6"/>
      <c r="F31" s="6"/>
      <c r="G31" s="891">
        <v>3790</v>
      </c>
    </row>
    <row r="32" spans="1:13" ht="15.75" hidden="1" thickBot="1" x14ac:dyDescent="0.3">
      <c r="A32" s="2"/>
      <c r="B32" s="1047"/>
      <c r="C32" s="46" t="s">
        <v>26</v>
      </c>
      <c r="D32" s="257">
        <v>176</v>
      </c>
      <c r="E32" s="6"/>
      <c r="F32" s="6"/>
      <c r="G32" s="891">
        <v>176</v>
      </c>
    </row>
    <row r="33" spans="1:7" ht="15.75" thickBot="1" x14ac:dyDescent="0.3">
      <c r="A33" s="2"/>
      <c r="B33" s="1048"/>
      <c r="C33" s="43" t="s">
        <v>23</v>
      </c>
      <c r="D33" s="258">
        <v>11463.516399</v>
      </c>
      <c r="E33" s="6"/>
      <c r="F33" s="6"/>
      <c r="G33" s="874">
        <v>11180</v>
      </c>
    </row>
    <row r="34" spans="1:7" x14ac:dyDescent="0.25">
      <c r="B34" s="33"/>
      <c r="D34" s="54"/>
      <c r="E34" s="55">
        <v>24.19</v>
      </c>
      <c r="F34" s="55"/>
    </row>
    <row r="35" spans="1:7" x14ac:dyDescent="0.25">
      <c r="B35" s="33"/>
      <c r="E35" s="47">
        <v>18</v>
      </c>
      <c r="F35" s="47"/>
    </row>
  </sheetData>
  <mergeCells count="17">
    <mergeCell ref="M24:M25"/>
    <mergeCell ref="L11:L12"/>
    <mergeCell ref="G11:G12"/>
    <mergeCell ref="H11:H12"/>
    <mergeCell ref="I11:I12"/>
    <mergeCell ref="J11:J12"/>
    <mergeCell ref="K11:K12"/>
    <mergeCell ref="M15:M16"/>
    <mergeCell ref="A11:A12"/>
    <mergeCell ref="A5:A6"/>
    <mergeCell ref="A15:A16"/>
    <mergeCell ref="B27:B33"/>
    <mergeCell ref="C11:C12"/>
    <mergeCell ref="B20:B21"/>
    <mergeCell ref="A24:A25"/>
    <mergeCell ref="B24:B25"/>
    <mergeCell ref="A20:A21"/>
  </mergeCells>
  <conditionalFormatting sqref="L5:L8">
    <cfRule type="cellIs" dxfId="391" priority="17" operator="equal">
      <formula>$P$7</formula>
    </cfRule>
    <cfRule type="cellIs" dxfId="390" priority="18" operator="equal">
      <formula>$P$6</formula>
    </cfRule>
    <cfRule type="cellIs" dxfId="389" priority="19" operator="equal">
      <formula>$P$5</formula>
    </cfRule>
    <cfRule type="cellIs" dxfId="388" priority="20" operator="notEqual">
      <formula>$P$4</formula>
    </cfRule>
  </conditionalFormatting>
  <conditionalFormatting sqref="L11">
    <cfRule type="cellIs" dxfId="387" priority="13" operator="equal">
      <formula>$P$7</formula>
    </cfRule>
    <cfRule type="cellIs" dxfId="386" priority="14" operator="equal">
      <formula>$P$6</formula>
    </cfRule>
    <cfRule type="cellIs" dxfId="385" priority="15" operator="equal">
      <formula>$P$5</formula>
    </cfRule>
    <cfRule type="cellIs" dxfId="384" priority="16" operator="notEqual">
      <formula>$P$4</formula>
    </cfRule>
  </conditionalFormatting>
  <conditionalFormatting sqref="L15:L16">
    <cfRule type="cellIs" dxfId="383" priority="9" operator="equal">
      <formula>$P$7</formula>
    </cfRule>
    <cfRule type="cellIs" dxfId="382" priority="10" operator="equal">
      <formula>$P$6</formula>
    </cfRule>
    <cfRule type="cellIs" dxfId="381" priority="11" operator="equal">
      <formula>$P$5</formula>
    </cfRule>
    <cfRule type="cellIs" dxfId="380" priority="12" operator="notEqual">
      <formula>$P$4</formula>
    </cfRule>
  </conditionalFormatting>
  <conditionalFormatting sqref="L20:L21">
    <cfRule type="cellIs" dxfId="379" priority="5" operator="equal">
      <formula>$P$7</formula>
    </cfRule>
    <cfRule type="cellIs" dxfId="378" priority="6" operator="equal">
      <formula>$P$6</formula>
    </cfRule>
    <cfRule type="cellIs" dxfId="377" priority="7" operator="equal">
      <formula>$P$5</formula>
    </cfRule>
    <cfRule type="cellIs" dxfId="376" priority="8" operator="notEqual">
      <formula>$P$4</formula>
    </cfRule>
  </conditionalFormatting>
  <conditionalFormatting sqref="L24:L25">
    <cfRule type="cellIs" dxfId="375" priority="1" operator="equal">
      <formula>$P$7</formula>
    </cfRule>
    <cfRule type="cellIs" dxfId="374" priority="2" operator="equal">
      <formula>$P$6</formula>
    </cfRule>
    <cfRule type="cellIs" dxfId="373" priority="3" operator="equal">
      <formula>$P$5</formula>
    </cfRule>
    <cfRule type="cellIs" dxfId="372" priority="4" operator="notEqual">
      <formula>$P$4</formula>
    </cfRule>
  </conditionalFormatting>
  <dataValidations count="1">
    <dataValidation type="list" allowBlank="1" showInputMessage="1" showErrorMessage="1" sqref="L5:L8 L11 L15:L16 L20:L21 L24:L25" xr:uid="{DB58EDEA-46CF-4F46-89E0-E78B15A96490}">
      <formula1>$P$4:$P$7</formula1>
    </dataValidation>
  </dataValidation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R35"/>
  <sheetViews>
    <sheetView showWhiteSpace="0" topLeftCell="A13" zoomScaleNormal="100" workbookViewId="0">
      <selection activeCell="M15" sqref="M15:M16"/>
    </sheetView>
  </sheetViews>
  <sheetFormatPr defaultRowHeight="15" x14ac:dyDescent="0.25"/>
  <cols>
    <col min="1" max="1" width="19.28515625" customWidth="1"/>
    <col min="2" max="2" width="43.42578125" customWidth="1"/>
    <col min="3" max="3" width="41.140625" customWidth="1"/>
    <col min="4" max="4" width="44" customWidth="1"/>
    <col min="5" max="5" width="8.140625" hidden="1" customWidth="1"/>
    <col min="6" max="6" width="6.85546875" hidden="1" customWidth="1"/>
    <col min="7" max="7" width="7.85546875" hidden="1" customWidth="1"/>
    <col min="8" max="8" width="10" hidden="1" customWidth="1"/>
    <col min="9" max="9" width="7.28515625" hidden="1" customWidth="1"/>
    <col min="10" max="10" width="6.85546875" hidden="1" customWidth="1"/>
    <col min="11" max="11" width="9.140625" hidden="1" customWidth="1"/>
    <col min="13" max="13" width="38.28515625" customWidth="1"/>
    <col min="17" max="18" width="0" hidden="1" customWidth="1"/>
  </cols>
  <sheetData>
    <row r="1" spans="1:18" ht="18" x14ac:dyDescent="0.25">
      <c r="A1" s="735" t="s">
        <v>554</v>
      </c>
      <c r="J1" s="4"/>
      <c r="K1" s="573" t="s">
        <v>331</v>
      </c>
      <c r="M1" s="1014">
        <v>43586</v>
      </c>
    </row>
    <row r="2" spans="1:18" ht="6" customHeight="1" thickBot="1" x14ac:dyDescent="0.3"/>
    <row r="3" spans="1:18" ht="17.25" customHeight="1" x14ac:dyDescent="0.25">
      <c r="A3" s="293" t="s">
        <v>211</v>
      </c>
      <c r="B3" s="294"/>
      <c r="C3" s="294"/>
      <c r="D3" s="294"/>
      <c r="E3" s="294"/>
      <c r="F3" s="294"/>
      <c r="G3" s="294"/>
      <c r="H3" s="294"/>
      <c r="I3" s="294"/>
      <c r="J3" s="294"/>
      <c r="K3" s="296"/>
      <c r="L3" s="294"/>
      <c r="M3" s="296"/>
      <c r="Q3" s="176"/>
      <c r="R3" s="176"/>
    </row>
    <row r="4" spans="1:18" s="176" customFormat="1" ht="28.5" customHeight="1" thickBot="1" x14ac:dyDescent="0.3">
      <c r="A4" s="297" t="s">
        <v>196</v>
      </c>
      <c r="B4" s="298" t="s">
        <v>1</v>
      </c>
      <c r="C4" s="299" t="s">
        <v>14</v>
      </c>
      <c r="D4" s="298" t="s">
        <v>17</v>
      </c>
      <c r="E4" s="298" t="s">
        <v>18</v>
      </c>
      <c r="F4" s="298" t="s">
        <v>30</v>
      </c>
      <c r="G4" s="298" t="s">
        <v>2</v>
      </c>
      <c r="H4" s="299" t="s">
        <v>3</v>
      </c>
      <c r="I4" s="298" t="s">
        <v>4</v>
      </c>
      <c r="J4" s="299" t="s">
        <v>5</v>
      </c>
      <c r="K4" s="301" t="s">
        <v>31</v>
      </c>
      <c r="L4" s="298" t="s">
        <v>18</v>
      </c>
      <c r="M4" s="301" t="s">
        <v>495</v>
      </c>
      <c r="Q4" s="945"/>
      <c r="R4" s="176" t="s">
        <v>136</v>
      </c>
    </row>
    <row r="5" spans="1:18" s="176" customFormat="1" ht="27.75" customHeight="1" x14ac:dyDescent="0.25">
      <c r="A5" s="1049" t="s">
        <v>205</v>
      </c>
      <c r="B5" s="144" t="s">
        <v>412</v>
      </c>
      <c r="C5" s="147" t="s">
        <v>42</v>
      </c>
      <c r="D5" s="415" t="s">
        <v>46</v>
      </c>
      <c r="E5" s="72"/>
      <c r="F5" s="798">
        <v>5.0000000000000001E-3</v>
      </c>
      <c r="G5" s="487">
        <f>F5*(153939*1.25)</f>
        <v>962.11874999999998</v>
      </c>
      <c r="H5" s="488">
        <v>712</v>
      </c>
      <c r="I5" s="488">
        <f>G5+H5</f>
        <v>1674.1187500000001</v>
      </c>
      <c r="J5" s="531">
        <v>1</v>
      </c>
      <c r="K5" s="532">
        <f>I5*J5</f>
        <v>1674.1187500000001</v>
      </c>
      <c r="L5" s="960" t="s">
        <v>136</v>
      </c>
      <c r="M5" s="941" t="s">
        <v>624</v>
      </c>
      <c r="Q5" s="946"/>
      <c r="R5" s="176" t="s">
        <v>496</v>
      </c>
    </row>
    <row r="6" spans="1:18" ht="54" customHeight="1" x14ac:dyDescent="0.25">
      <c r="A6" s="1050"/>
      <c r="B6" s="144" t="s">
        <v>40</v>
      </c>
      <c r="C6" s="144" t="s">
        <v>45</v>
      </c>
      <c r="D6" s="144" t="s">
        <v>366</v>
      </c>
      <c r="E6" s="8"/>
      <c r="F6" s="12"/>
      <c r="G6" s="12"/>
      <c r="H6" s="12"/>
      <c r="I6" s="12"/>
      <c r="J6" s="12"/>
      <c r="K6" s="14"/>
      <c r="L6" s="960" t="s">
        <v>136</v>
      </c>
      <c r="M6" s="1017" t="s">
        <v>622</v>
      </c>
      <c r="Q6" s="947"/>
      <c r="R6" s="176" t="s">
        <v>497</v>
      </c>
    </row>
    <row r="7" spans="1:18" ht="28.5" customHeight="1" x14ac:dyDescent="0.25">
      <c r="A7" s="223"/>
      <c r="B7" s="413" t="s">
        <v>41</v>
      </c>
      <c r="C7" s="413" t="s">
        <v>43</v>
      </c>
      <c r="D7" s="717" t="s">
        <v>373</v>
      </c>
      <c r="E7" s="7"/>
      <c r="F7" s="7"/>
      <c r="G7" s="12"/>
      <c r="H7" s="13"/>
      <c r="I7" s="12"/>
      <c r="J7" s="13"/>
      <c r="K7" s="14"/>
      <c r="L7" s="960" t="s">
        <v>136</v>
      </c>
      <c r="M7" s="987" t="s">
        <v>623</v>
      </c>
      <c r="Q7" s="948"/>
      <c r="R7" s="176" t="s">
        <v>498</v>
      </c>
    </row>
    <row r="8" spans="1:18" ht="27.75" customHeight="1" thickBot="1" x14ac:dyDescent="0.3">
      <c r="A8" s="223"/>
      <c r="B8" s="144" t="s">
        <v>37</v>
      </c>
      <c r="C8" s="144" t="s">
        <v>44</v>
      </c>
      <c r="D8" s="336" t="s">
        <v>47</v>
      </c>
      <c r="E8" s="7"/>
      <c r="F8" s="7"/>
      <c r="G8" s="12"/>
      <c r="H8" s="13"/>
      <c r="I8" s="12"/>
      <c r="J8" s="13"/>
      <c r="K8" s="14"/>
      <c r="L8" s="960" t="s">
        <v>136</v>
      </c>
      <c r="M8" s="1193" t="s">
        <v>624</v>
      </c>
    </row>
    <row r="9" spans="1:18" ht="18" customHeight="1" x14ac:dyDescent="0.25">
      <c r="A9" s="781" t="s">
        <v>198</v>
      </c>
      <c r="B9" s="208"/>
      <c r="C9" s="208"/>
      <c r="D9" s="208"/>
      <c r="E9" s="208"/>
      <c r="F9" s="208"/>
      <c r="G9" s="208"/>
      <c r="H9" s="208"/>
      <c r="I9" s="208"/>
      <c r="J9" s="208"/>
      <c r="K9" s="211"/>
      <c r="L9" s="691"/>
      <c r="M9" s="692"/>
    </row>
    <row r="10" spans="1:18" ht="30"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8" ht="39.75" customHeight="1" x14ac:dyDescent="0.25">
      <c r="A11" s="1050" t="s">
        <v>204</v>
      </c>
      <c r="B11" s="3" t="s">
        <v>6</v>
      </c>
      <c r="C11" s="1051" t="s">
        <v>27</v>
      </c>
      <c r="D11" s="570" t="s">
        <v>260</v>
      </c>
      <c r="E11" s="7"/>
      <c r="F11" s="605">
        <v>0</v>
      </c>
      <c r="G11" s="1087">
        <v>0</v>
      </c>
      <c r="H11" s="1088" t="s">
        <v>22</v>
      </c>
      <c r="I11" s="1087">
        <f>G11</f>
        <v>0</v>
      </c>
      <c r="J11" s="1089">
        <v>1</v>
      </c>
      <c r="K11" s="1090">
        <f>I11*J11</f>
        <v>0</v>
      </c>
      <c r="L11" s="1066" t="s">
        <v>136</v>
      </c>
      <c r="M11" s="938"/>
    </row>
    <row r="12" spans="1:18" ht="41.25" customHeight="1" thickBot="1" x14ac:dyDescent="0.3">
      <c r="A12" s="1071"/>
      <c r="B12" s="3" t="s">
        <v>7</v>
      </c>
      <c r="C12" s="1051"/>
      <c r="D12" s="68"/>
      <c r="E12" s="75"/>
      <c r="F12" s="608"/>
      <c r="G12" s="1087"/>
      <c r="H12" s="1088"/>
      <c r="I12" s="1087"/>
      <c r="J12" s="1089"/>
      <c r="K12" s="1093"/>
      <c r="L12" s="1067"/>
      <c r="M12" s="938"/>
    </row>
    <row r="13" spans="1:18" s="176" customFormat="1" ht="18" customHeight="1" x14ac:dyDescent="0.25">
      <c r="A13" s="624" t="s">
        <v>209</v>
      </c>
      <c r="B13" s="625"/>
      <c r="C13" s="625"/>
      <c r="D13" s="625"/>
      <c r="E13" s="625"/>
      <c r="F13" s="625"/>
      <c r="G13" s="625"/>
      <c r="H13" s="625"/>
      <c r="I13" s="625"/>
      <c r="J13" s="625"/>
      <c r="K13" s="626"/>
      <c r="L13" s="625"/>
      <c r="M13" s="626"/>
    </row>
    <row r="14" spans="1:18" s="176" customFormat="1" ht="28.5" customHeight="1" thickBot="1" x14ac:dyDescent="0.3">
      <c r="A14" s="627" t="s">
        <v>0</v>
      </c>
      <c r="B14" s="628" t="s">
        <v>1</v>
      </c>
      <c r="C14" s="628" t="s">
        <v>14</v>
      </c>
      <c r="D14" s="628" t="s">
        <v>32</v>
      </c>
      <c r="E14" s="628" t="s">
        <v>18</v>
      </c>
      <c r="F14" s="628" t="s">
        <v>30</v>
      </c>
      <c r="G14" s="628" t="s">
        <v>2</v>
      </c>
      <c r="H14" s="628" t="s">
        <v>3</v>
      </c>
      <c r="I14" s="628" t="s">
        <v>4</v>
      </c>
      <c r="J14" s="628" t="s">
        <v>29</v>
      </c>
      <c r="K14" s="629" t="s">
        <v>56</v>
      </c>
      <c r="L14" s="628" t="s">
        <v>18</v>
      </c>
      <c r="M14" s="629" t="s">
        <v>495</v>
      </c>
    </row>
    <row r="15" spans="1:18" s="176" customFormat="1" ht="40.5" customHeight="1" x14ac:dyDescent="0.25">
      <c r="A15" s="1049" t="s">
        <v>662</v>
      </c>
      <c r="B15" s="940" t="s">
        <v>501</v>
      </c>
      <c r="C15" s="978" t="s">
        <v>499</v>
      </c>
      <c r="D15" s="757" t="s">
        <v>452</v>
      </c>
      <c r="E15" s="69"/>
      <c r="F15" s="760">
        <v>7.4999999999999997E-3</v>
      </c>
      <c r="G15" s="609">
        <f>F15*(176702*1.05)</f>
        <v>1391.5282500000001</v>
      </c>
      <c r="H15" s="473">
        <v>0</v>
      </c>
      <c r="I15" s="472">
        <f>G15</f>
        <v>1391.5282500000001</v>
      </c>
      <c r="J15" s="485">
        <v>1</v>
      </c>
      <c r="K15" s="486">
        <f>I15*J15</f>
        <v>1391.5282500000001</v>
      </c>
      <c r="L15" s="960" t="s">
        <v>136</v>
      </c>
      <c r="M15" s="1091" t="s">
        <v>669</v>
      </c>
    </row>
    <row r="16" spans="1:18" s="176" customFormat="1" ht="39" customHeight="1" thickBot="1" x14ac:dyDescent="0.3">
      <c r="A16" s="1050"/>
      <c r="B16" s="979" t="s">
        <v>36</v>
      </c>
      <c r="C16" s="979" t="s">
        <v>38</v>
      </c>
      <c r="D16" s="980" t="s">
        <v>514</v>
      </c>
      <c r="E16" s="70"/>
      <c r="F16" s="233"/>
      <c r="G16" s="34"/>
      <c r="H16" s="34"/>
      <c r="I16" s="34"/>
      <c r="J16" s="34"/>
      <c r="K16" s="187"/>
      <c r="L16" s="960" t="s">
        <v>136</v>
      </c>
      <c r="M16" s="1092"/>
    </row>
    <row r="17" spans="1:13" ht="18.75" customHeight="1" thickBot="1" x14ac:dyDescent="0.3">
      <c r="A17" s="36" t="s">
        <v>199</v>
      </c>
      <c r="B17" s="23"/>
      <c r="C17" s="24"/>
      <c r="D17" s="25"/>
      <c r="E17" s="26"/>
      <c r="F17" s="26"/>
      <c r="G17" s="27"/>
      <c r="H17" s="27"/>
      <c r="I17" s="27"/>
      <c r="J17" s="27"/>
      <c r="K17" s="28"/>
      <c r="L17" s="25"/>
      <c r="M17" s="944"/>
    </row>
    <row r="18" spans="1:13" ht="17.25" customHeight="1" x14ac:dyDescent="0.25">
      <c r="A18" s="193" t="s">
        <v>200</v>
      </c>
      <c r="B18" s="194"/>
      <c r="C18" s="194"/>
      <c r="D18" s="194"/>
      <c r="E18" s="194"/>
      <c r="F18" s="194"/>
      <c r="G18" s="194"/>
      <c r="H18" s="194"/>
      <c r="I18" s="194"/>
      <c r="J18" s="194"/>
      <c r="K18" s="195"/>
      <c r="L18" s="194"/>
      <c r="M18" s="195"/>
    </row>
    <row r="19" spans="1:13" ht="30.75" customHeight="1" thickBot="1" x14ac:dyDescent="0.3">
      <c r="A19" s="279" t="s">
        <v>0</v>
      </c>
      <c r="B19" s="267" t="s">
        <v>1</v>
      </c>
      <c r="C19" s="280" t="s">
        <v>14</v>
      </c>
      <c r="D19" s="267" t="s">
        <v>17</v>
      </c>
      <c r="E19" s="268" t="s">
        <v>18</v>
      </c>
      <c r="F19" s="268" t="s">
        <v>30</v>
      </c>
      <c r="G19" s="268" t="s">
        <v>2</v>
      </c>
      <c r="H19" s="280" t="s">
        <v>3</v>
      </c>
      <c r="I19" s="267" t="s">
        <v>4</v>
      </c>
      <c r="J19" s="280" t="s">
        <v>5</v>
      </c>
      <c r="K19" s="281" t="s">
        <v>31</v>
      </c>
      <c r="L19" s="267" t="s">
        <v>18</v>
      </c>
      <c r="M19" s="281" t="s">
        <v>495</v>
      </c>
    </row>
    <row r="20" spans="1:13" ht="28.5" customHeight="1" x14ac:dyDescent="0.25">
      <c r="A20" s="1050" t="s">
        <v>202</v>
      </c>
      <c r="B20" s="1051" t="s">
        <v>8</v>
      </c>
      <c r="C20" s="179" t="s">
        <v>9</v>
      </c>
      <c r="D20" s="180" t="s">
        <v>34</v>
      </c>
      <c r="E20" s="7"/>
      <c r="F20" s="756">
        <v>2E-3</v>
      </c>
      <c r="G20" s="488">
        <f>F20*(128492*1.05)</f>
        <v>269.83320000000003</v>
      </c>
      <c r="H20" s="617">
        <v>37.5</v>
      </c>
      <c r="I20" s="488">
        <f>G20+H20</f>
        <v>307.33320000000003</v>
      </c>
      <c r="J20" s="531">
        <v>1</v>
      </c>
      <c r="K20" s="532">
        <f>+I20*J20</f>
        <v>307.33320000000003</v>
      </c>
      <c r="L20" s="960" t="s">
        <v>136</v>
      </c>
      <c r="M20" s="1012" t="s">
        <v>517</v>
      </c>
    </row>
    <row r="21" spans="1:13" ht="27" customHeight="1" thickBot="1" x14ac:dyDescent="0.3">
      <c r="A21" s="1050"/>
      <c r="B21" s="1051"/>
      <c r="C21" s="179" t="s">
        <v>277</v>
      </c>
      <c r="D21" s="179" t="s">
        <v>35</v>
      </c>
      <c r="E21" s="7"/>
      <c r="F21" s="7"/>
      <c r="G21" s="185"/>
      <c r="H21" s="185"/>
      <c r="I21" s="186"/>
      <c r="J21" s="185"/>
      <c r="K21" s="192"/>
      <c r="L21" s="960" t="s">
        <v>136</v>
      </c>
      <c r="M21" s="942" t="s">
        <v>525</v>
      </c>
    </row>
    <row r="22" spans="1:13" ht="18.75" customHeight="1" x14ac:dyDescent="0.25">
      <c r="A22" s="205" t="s">
        <v>201</v>
      </c>
      <c r="B22" s="206"/>
      <c r="C22" s="206"/>
      <c r="D22" s="206"/>
      <c r="E22" s="206"/>
      <c r="F22" s="206"/>
      <c r="G22" s="206"/>
      <c r="H22" s="206"/>
      <c r="I22" s="206"/>
      <c r="J22" s="206"/>
      <c r="K22" s="210"/>
      <c r="L22" s="206"/>
      <c r="M22" s="210"/>
    </row>
    <row r="23" spans="1:13" ht="29.25" customHeight="1" thickBot="1" x14ac:dyDescent="0.3">
      <c r="A23" s="271" t="s">
        <v>0</v>
      </c>
      <c r="B23" s="266" t="s">
        <v>1</v>
      </c>
      <c r="C23" s="272" t="s">
        <v>14</v>
      </c>
      <c r="D23" s="266" t="s">
        <v>17</v>
      </c>
      <c r="E23" s="266" t="s">
        <v>18</v>
      </c>
      <c r="F23" s="266" t="s">
        <v>30</v>
      </c>
      <c r="G23" s="266" t="s">
        <v>2</v>
      </c>
      <c r="H23" s="272" t="s">
        <v>3</v>
      </c>
      <c r="I23" s="266" t="s">
        <v>4</v>
      </c>
      <c r="J23" s="272" t="s">
        <v>5</v>
      </c>
      <c r="K23" s="273" t="s">
        <v>31</v>
      </c>
      <c r="L23" s="266" t="s">
        <v>18</v>
      </c>
      <c r="M23" s="273" t="s">
        <v>495</v>
      </c>
    </row>
    <row r="24" spans="1:13" ht="27" customHeight="1" x14ac:dyDescent="0.25">
      <c r="A24" s="1049" t="s">
        <v>203</v>
      </c>
      <c r="B24" s="1053" t="s">
        <v>10</v>
      </c>
      <c r="C24" s="462" t="s">
        <v>19</v>
      </c>
      <c r="D24" s="103" t="s">
        <v>245</v>
      </c>
      <c r="E24" s="30"/>
      <c r="F24" s="615">
        <v>0</v>
      </c>
      <c r="G24" s="614">
        <v>0</v>
      </c>
      <c r="H24" s="614">
        <f>1*21.42</f>
        <v>21.42</v>
      </c>
      <c r="I24" s="614">
        <f>H24</f>
        <v>21.42</v>
      </c>
      <c r="J24" s="485">
        <v>1</v>
      </c>
      <c r="K24" s="614">
        <f>I24*J24</f>
        <v>21.42</v>
      </c>
      <c r="L24" s="964" t="s">
        <v>136</v>
      </c>
      <c r="M24" s="1039" t="s">
        <v>548</v>
      </c>
    </row>
    <row r="25" spans="1:13" ht="28.5" customHeight="1" thickBot="1" x14ac:dyDescent="0.3">
      <c r="A25" s="1052"/>
      <c r="B25" s="1054"/>
      <c r="C25" s="463" t="s">
        <v>11</v>
      </c>
      <c r="D25" s="196" t="s">
        <v>246</v>
      </c>
      <c r="E25" s="11"/>
      <c r="F25" s="11"/>
      <c r="G25" s="17"/>
      <c r="H25" s="18"/>
      <c r="I25" s="52"/>
      <c r="J25" s="18"/>
      <c r="K25" s="437"/>
      <c r="L25" s="961" t="s">
        <v>136</v>
      </c>
      <c r="M25" s="1040"/>
    </row>
    <row r="26" spans="1:13" ht="3" customHeight="1" thickBot="1" x14ac:dyDescent="0.3">
      <c r="G26" s="877" t="s">
        <v>432</v>
      </c>
    </row>
    <row r="27" spans="1:13" ht="13.5" customHeight="1" thickBot="1" x14ac:dyDescent="0.3">
      <c r="A27" s="2"/>
      <c r="B27" s="1045" t="s">
        <v>12</v>
      </c>
      <c r="C27" s="702" t="s">
        <v>48</v>
      </c>
      <c r="D27" s="1189">
        <v>1391.5282500000001</v>
      </c>
      <c r="E27" s="5"/>
      <c r="F27" s="5"/>
      <c r="G27" s="841">
        <v>128439</v>
      </c>
      <c r="I27" s="215" t="s">
        <v>304</v>
      </c>
    </row>
    <row r="28" spans="1:13" ht="12.75" customHeight="1" thickBot="1" x14ac:dyDescent="0.3">
      <c r="A28" s="2"/>
      <c r="B28" s="1046"/>
      <c r="C28" s="1185" t="s">
        <v>49</v>
      </c>
      <c r="D28" s="1190">
        <v>0</v>
      </c>
      <c r="E28" s="5"/>
      <c r="F28" s="5"/>
      <c r="G28" s="892">
        <v>4312</v>
      </c>
    </row>
    <row r="29" spans="1:13" ht="13.5" customHeight="1" thickBot="1" x14ac:dyDescent="0.3">
      <c r="A29" s="2"/>
      <c r="B29" s="1046"/>
      <c r="C29" s="1185" t="s">
        <v>50</v>
      </c>
      <c r="D29" s="1190">
        <v>1674.1187500000001</v>
      </c>
      <c r="E29" s="5"/>
      <c r="F29" s="5"/>
      <c r="G29" s="892">
        <v>1482</v>
      </c>
    </row>
    <row r="30" spans="1:13" ht="14.25" customHeight="1" thickBot="1" x14ac:dyDescent="0.3">
      <c r="A30" s="2"/>
      <c r="B30" s="1046"/>
      <c r="C30" s="1186" t="s">
        <v>51</v>
      </c>
      <c r="D30" s="1190">
        <v>328</v>
      </c>
      <c r="E30" s="6"/>
      <c r="F30" s="6"/>
      <c r="G30" s="843">
        <v>3991</v>
      </c>
    </row>
    <row r="31" spans="1:13" ht="15.75" hidden="1" thickBot="1" x14ac:dyDescent="0.3">
      <c r="A31" s="2"/>
      <c r="B31" s="1046"/>
      <c r="C31" s="1186" t="s">
        <v>52</v>
      </c>
      <c r="D31" s="1190">
        <v>21.42</v>
      </c>
      <c r="E31" s="6"/>
      <c r="F31" s="6"/>
      <c r="G31" s="893">
        <v>262.56</v>
      </c>
    </row>
    <row r="32" spans="1:13" ht="15.75" hidden="1" thickBot="1" x14ac:dyDescent="0.3">
      <c r="A32" s="2"/>
      <c r="B32" s="1046"/>
      <c r="C32" s="1187" t="s">
        <v>23</v>
      </c>
      <c r="D32" s="1191">
        <v>3394.4002</v>
      </c>
      <c r="E32" s="6"/>
      <c r="F32" s="6"/>
      <c r="G32" s="894" t="s">
        <v>436</v>
      </c>
    </row>
    <row r="33" spans="1:7" ht="13.5" customHeight="1" thickBot="1" x14ac:dyDescent="0.3">
      <c r="A33" s="2"/>
      <c r="B33" s="1048"/>
      <c r="C33" s="1188" t="s">
        <v>310</v>
      </c>
      <c r="D33" s="1192">
        <v>553</v>
      </c>
      <c r="E33" s="6"/>
      <c r="F33" s="6"/>
      <c r="G33" s="176" t="s">
        <v>433</v>
      </c>
    </row>
    <row r="34" spans="1:7" x14ac:dyDescent="0.25">
      <c r="A34" s="176"/>
      <c r="D34" s="54"/>
      <c r="E34" s="47">
        <v>18</v>
      </c>
      <c r="F34" s="47"/>
    </row>
    <row r="35" spans="1:7" x14ac:dyDescent="0.25">
      <c r="A35" s="176"/>
    </row>
  </sheetData>
  <mergeCells count="17">
    <mergeCell ref="M24:M25"/>
    <mergeCell ref="L11:L12"/>
    <mergeCell ref="B27:B33"/>
    <mergeCell ref="G11:G12"/>
    <mergeCell ref="H11:H12"/>
    <mergeCell ref="I11:I12"/>
    <mergeCell ref="J11:J12"/>
    <mergeCell ref="C11:C12"/>
    <mergeCell ref="M15:M16"/>
    <mergeCell ref="A5:A6"/>
    <mergeCell ref="A11:A12"/>
    <mergeCell ref="B20:B21"/>
    <mergeCell ref="K11:K12"/>
    <mergeCell ref="B24:B25"/>
    <mergeCell ref="A24:A25"/>
    <mergeCell ref="A15:A16"/>
    <mergeCell ref="A20:A21"/>
  </mergeCells>
  <conditionalFormatting sqref="L24:L25 L15:L16">
    <cfRule type="cellIs" dxfId="371" priority="17" operator="equal">
      <formula>$P$7</formula>
    </cfRule>
    <cfRule type="cellIs" dxfId="370" priority="18" operator="equal">
      <formula>$P$6</formula>
    </cfRule>
    <cfRule type="cellIs" dxfId="369" priority="19" operator="equal">
      <formula>$P$5</formula>
    </cfRule>
    <cfRule type="cellIs" dxfId="368" priority="20" operator="notEqual">
      <formula>$P$4</formula>
    </cfRule>
  </conditionalFormatting>
  <conditionalFormatting sqref="L20:L21">
    <cfRule type="cellIs" dxfId="367" priority="13" operator="equal">
      <formula>$P$7</formula>
    </cfRule>
    <cfRule type="cellIs" dxfId="366" priority="14" operator="equal">
      <formula>$P$6</formula>
    </cfRule>
    <cfRule type="cellIs" dxfId="365" priority="15" operator="equal">
      <formula>$P$5</formula>
    </cfRule>
    <cfRule type="cellIs" dxfId="364" priority="16" operator="notEqual">
      <formula>$P$4</formula>
    </cfRule>
  </conditionalFormatting>
  <conditionalFormatting sqref="L11">
    <cfRule type="cellIs" dxfId="363" priority="5" operator="equal">
      <formula>$P$7</formula>
    </cfRule>
    <cfRule type="cellIs" dxfId="362" priority="6" operator="equal">
      <formula>$P$6</formula>
    </cfRule>
    <cfRule type="cellIs" dxfId="361" priority="7" operator="equal">
      <formula>$P$5</formula>
    </cfRule>
    <cfRule type="cellIs" dxfId="360" priority="8" operator="notEqual">
      <formula>$P$4</formula>
    </cfRule>
  </conditionalFormatting>
  <conditionalFormatting sqref="L5:L8">
    <cfRule type="cellIs" dxfId="359" priority="1" operator="equal">
      <formula>$P$7</formula>
    </cfRule>
    <cfRule type="cellIs" dxfId="358" priority="2" operator="equal">
      <formula>$P$6</formula>
    </cfRule>
    <cfRule type="cellIs" dxfId="357" priority="3" operator="equal">
      <formula>$P$5</formula>
    </cfRule>
    <cfRule type="cellIs" dxfId="356" priority="4" operator="notEqual">
      <formula>$P$4</formula>
    </cfRule>
  </conditionalFormatting>
  <dataValidations count="1">
    <dataValidation type="list" allowBlank="1" showInputMessage="1" showErrorMessage="1" sqref="L24:L25 L20:L21 L11 L5:L8 L15:L16" xr:uid="{413E2D1C-D74F-482F-83D7-9E880BF3D567}">
      <formula1>$P$4:$P$7</formula1>
    </dataValidation>
  </dataValidations>
  <pageMargins left="0.51181102362204722" right="0.51181102362204722" top="0.55118110236220474" bottom="0.55118110236220474"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R36"/>
  <sheetViews>
    <sheetView topLeftCell="A10" zoomScaleNormal="100" workbookViewId="0">
      <selection activeCell="N28" sqref="N28"/>
    </sheetView>
  </sheetViews>
  <sheetFormatPr defaultRowHeight="15" x14ac:dyDescent="0.25"/>
  <cols>
    <col min="1" max="1" width="17.28515625" customWidth="1"/>
    <col min="2" max="2" width="53" customWidth="1"/>
    <col min="3" max="3" width="39" customWidth="1"/>
    <col min="4" max="4" width="40.28515625" customWidth="1"/>
    <col min="5" max="5" width="8.140625" hidden="1" customWidth="1"/>
    <col min="6" max="6" width="7.140625" hidden="1" customWidth="1"/>
    <col min="7" max="7" width="8.5703125" hidden="1" customWidth="1"/>
    <col min="8" max="8" width="9.85546875" hidden="1" customWidth="1"/>
    <col min="9" max="9" width="7.42578125" hidden="1" customWidth="1"/>
    <col min="10" max="10" width="7.140625" hidden="1" customWidth="1"/>
    <col min="11" max="11" width="8.28515625" hidden="1" customWidth="1"/>
    <col min="13" max="13" width="17.5703125" customWidth="1"/>
    <col min="17" max="18" width="0" hidden="1" customWidth="1"/>
  </cols>
  <sheetData>
    <row r="1" spans="1:18" ht="18" x14ac:dyDescent="0.25">
      <c r="A1" s="735" t="s">
        <v>555</v>
      </c>
      <c r="J1" s="4"/>
      <c r="K1" s="573" t="s">
        <v>331</v>
      </c>
      <c r="M1" s="1014">
        <v>43586</v>
      </c>
    </row>
    <row r="2" spans="1:18" ht="11.25" customHeight="1" thickBot="1" x14ac:dyDescent="0.3">
      <c r="H2" s="109"/>
    </row>
    <row r="3" spans="1:18" ht="17.25" customHeight="1" x14ac:dyDescent="0.25">
      <c r="A3" s="293" t="s">
        <v>197</v>
      </c>
      <c r="B3" s="294"/>
      <c r="C3" s="294"/>
      <c r="D3" s="294"/>
      <c r="E3" s="294"/>
      <c r="F3" s="294"/>
      <c r="G3" s="294"/>
      <c r="H3" s="294"/>
      <c r="I3" s="294"/>
      <c r="J3" s="294"/>
      <c r="K3" s="296"/>
      <c r="L3" s="294"/>
      <c r="M3" s="296"/>
      <c r="Q3" s="176"/>
      <c r="R3" s="176"/>
    </row>
    <row r="4" spans="1:18" ht="30.75" customHeight="1" thickBot="1" x14ac:dyDescent="0.3">
      <c r="A4" s="297" t="s">
        <v>0</v>
      </c>
      <c r="B4" s="298" t="s">
        <v>1</v>
      </c>
      <c r="C4" s="299" t="s">
        <v>14</v>
      </c>
      <c r="D4" s="298" t="s">
        <v>58</v>
      </c>
      <c r="E4" s="298" t="s">
        <v>18</v>
      </c>
      <c r="F4" s="298" t="s">
        <v>30</v>
      </c>
      <c r="G4" s="298" t="s">
        <v>2</v>
      </c>
      <c r="H4" s="299" t="s">
        <v>3</v>
      </c>
      <c r="I4" s="298" t="s">
        <v>4</v>
      </c>
      <c r="J4" s="299" t="s">
        <v>59</v>
      </c>
      <c r="K4" s="301" t="s">
        <v>31</v>
      </c>
      <c r="L4" s="298" t="s">
        <v>18</v>
      </c>
      <c r="M4" s="301" t="s">
        <v>495</v>
      </c>
      <c r="Q4" s="945"/>
      <c r="R4" s="176" t="s">
        <v>136</v>
      </c>
    </row>
    <row r="5" spans="1:18" s="176" customFormat="1" ht="27.75" customHeight="1" x14ac:dyDescent="0.25">
      <c r="A5" s="1049" t="s">
        <v>205</v>
      </c>
      <c r="B5" s="144" t="s">
        <v>412</v>
      </c>
      <c r="C5" s="147" t="s">
        <v>42</v>
      </c>
      <c r="D5" s="415" t="s">
        <v>46</v>
      </c>
      <c r="E5" s="93"/>
      <c r="F5" s="800">
        <v>5.0650000000000001E-3</v>
      </c>
      <c r="G5" s="473">
        <f>F5*(153939*1.025)</f>
        <v>799.19356087499989</v>
      </c>
      <c r="H5" s="473">
        <v>712</v>
      </c>
      <c r="I5" s="609">
        <f>G5+H5</f>
        <v>1511.193560875</v>
      </c>
      <c r="J5" s="485">
        <v>1</v>
      </c>
      <c r="K5" s="486">
        <f>I5*J5</f>
        <v>1511.193560875</v>
      </c>
      <c r="L5" s="960" t="s">
        <v>136</v>
      </c>
      <c r="M5" s="941" t="s">
        <v>624</v>
      </c>
      <c r="Q5" s="946"/>
      <c r="R5" s="176" t="s">
        <v>496</v>
      </c>
    </row>
    <row r="6" spans="1:18" s="176" customFormat="1" ht="42" customHeight="1" x14ac:dyDescent="0.25">
      <c r="A6" s="1050"/>
      <c r="B6" s="144" t="s">
        <v>40</v>
      </c>
      <c r="C6" s="144" t="s">
        <v>45</v>
      </c>
      <c r="D6" s="144" t="s">
        <v>366</v>
      </c>
      <c r="E6" s="7"/>
      <c r="F6" s="7"/>
      <c r="G6" s="12"/>
      <c r="H6" s="13"/>
      <c r="I6" s="12"/>
      <c r="J6" s="13"/>
      <c r="K6" s="14"/>
      <c r="L6" s="960" t="s">
        <v>136</v>
      </c>
      <c r="M6" s="1017" t="s">
        <v>622</v>
      </c>
      <c r="Q6" s="947"/>
      <c r="R6" s="176" t="s">
        <v>497</v>
      </c>
    </row>
    <row r="7" spans="1:18" ht="27" customHeight="1" x14ac:dyDescent="0.25">
      <c r="A7" s="223"/>
      <c r="B7" s="413" t="s">
        <v>41</v>
      </c>
      <c r="C7" s="413" t="s">
        <v>43</v>
      </c>
      <c r="D7" s="717" t="s">
        <v>373</v>
      </c>
      <c r="E7" s="7"/>
      <c r="F7" s="7"/>
      <c r="G7" s="12"/>
      <c r="H7" s="13"/>
      <c r="I7" s="12"/>
      <c r="J7" s="13"/>
      <c r="K7" s="14"/>
      <c r="L7" s="960" t="s">
        <v>136</v>
      </c>
      <c r="M7" s="987" t="s">
        <v>623</v>
      </c>
      <c r="Q7" s="948"/>
      <c r="R7" s="176" t="s">
        <v>498</v>
      </c>
    </row>
    <row r="8" spans="1:18" ht="41.25" customHeight="1" thickBot="1" x14ac:dyDescent="0.3">
      <c r="A8" s="223"/>
      <c r="B8" s="144" t="s">
        <v>37</v>
      </c>
      <c r="C8" s="144" t="s">
        <v>44</v>
      </c>
      <c r="D8" s="336" t="s">
        <v>47</v>
      </c>
      <c r="E8" s="7"/>
      <c r="F8" s="7"/>
      <c r="G8" s="12"/>
      <c r="H8" s="13"/>
      <c r="I8" s="12"/>
      <c r="J8" s="13"/>
      <c r="K8" s="14"/>
      <c r="L8" s="960" t="s">
        <v>136</v>
      </c>
      <c r="M8" s="938" t="s">
        <v>624</v>
      </c>
    </row>
    <row r="9" spans="1:18" ht="15.75" x14ac:dyDescent="0.25">
      <c r="A9" s="207" t="s">
        <v>198</v>
      </c>
      <c r="B9" s="208"/>
      <c r="C9" s="208"/>
      <c r="D9" s="208"/>
      <c r="E9" s="208"/>
      <c r="F9" s="208"/>
      <c r="G9" s="208"/>
      <c r="H9" s="208"/>
      <c r="I9" s="208"/>
      <c r="J9" s="208"/>
      <c r="K9" s="211"/>
      <c r="L9" s="691"/>
      <c r="M9" s="692"/>
    </row>
    <row r="10" spans="1:18" ht="31.5" customHeight="1" thickBot="1" x14ac:dyDescent="0.3">
      <c r="A10" s="274" t="s">
        <v>0</v>
      </c>
      <c r="B10" s="275" t="s">
        <v>1</v>
      </c>
      <c r="C10" s="276" t="s">
        <v>16</v>
      </c>
      <c r="D10" s="275" t="s">
        <v>58</v>
      </c>
      <c r="E10" s="275" t="s">
        <v>18</v>
      </c>
      <c r="F10" s="275" t="s">
        <v>30</v>
      </c>
      <c r="G10" s="275" t="s">
        <v>2</v>
      </c>
      <c r="H10" s="276" t="s">
        <v>3</v>
      </c>
      <c r="I10" s="275" t="s">
        <v>4</v>
      </c>
      <c r="J10" s="276" t="s">
        <v>59</v>
      </c>
      <c r="K10" s="277" t="s">
        <v>31</v>
      </c>
      <c r="L10" s="275" t="s">
        <v>18</v>
      </c>
      <c r="M10" s="277" t="s">
        <v>495</v>
      </c>
    </row>
    <row r="11" spans="1:18" ht="41.25" customHeight="1" x14ac:dyDescent="0.25">
      <c r="A11" s="1049" t="s">
        <v>204</v>
      </c>
      <c r="B11" s="53" t="s">
        <v>6</v>
      </c>
      <c r="C11" s="3" t="s">
        <v>60</v>
      </c>
      <c r="D11" s="172" t="s">
        <v>261</v>
      </c>
      <c r="E11" s="75"/>
      <c r="F11" s="749">
        <v>1.5E-3</v>
      </c>
      <c r="G11" s="1087">
        <f>265*1.025</f>
        <v>271.625</v>
      </c>
      <c r="H11" s="1088" t="s">
        <v>22</v>
      </c>
      <c r="I11" s="1087">
        <f>G11</f>
        <v>271.625</v>
      </c>
      <c r="J11" s="1089">
        <v>1</v>
      </c>
      <c r="K11" s="1087">
        <f>I11*J11</f>
        <v>271.625</v>
      </c>
      <c r="L11" s="1066" t="s">
        <v>136</v>
      </c>
      <c r="M11" s="938"/>
    </row>
    <row r="12" spans="1:18" ht="56.25" customHeight="1" thickBot="1" x14ac:dyDescent="0.3">
      <c r="A12" s="1052"/>
      <c r="B12" s="53" t="s">
        <v>61</v>
      </c>
      <c r="C12" s="92"/>
      <c r="D12" s="91"/>
      <c r="E12" s="75"/>
      <c r="F12" s="608"/>
      <c r="G12" s="1087"/>
      <c r="H12" s="1088"/>
      <c r="I12" s="1087"/>
      <c r="J12" s="1089"/>
      <c r="K12" s="1087"/>
      <c r="L12" s="1067"/>
      <c r="M12" s="938"/>
    </row>
    <row r="13" spans="1:18" s="176" customFormat="1" ht="19.5" hidden="1" customHeight="1" x14ac:dyDescent="0.25">
      <c r="A13" s="624" t="s">
        <v>209</v>
      </c>
      <c r="B13" s="625"/>
      <c r="C13" s="625"/>
      <c r="D13" s="625"/>
      <c r="E13" s="625"/>
      <c r="F13" s="625"/>
      <c r="G13" s="625"/>
      <c r="H13" s="625"/>
      <c r="I13" s="625"/>
      <c r="J13" s="625"/>
      <c r="K13" s="626"/>
      <c r="L13" s="625"/>
      <c r="M13" s="626"/>
    </row>
    <row r="14" spans="1:18" s="176" customFormat="1" ht="32.25" hidden="1" customHeight="1" thickBot="1" x14ac:dyDescent="0.3">
      <c r="A14" s="627" t="s">
        <v>0</v>
      </c>
      <c r="B14" s="628" t="s">
        <v>1</v>
      </c>
      <c r="C14" s="630" t="s">
        <v>14</v>
      </c>
      <c r="D14" s="628" t="s">
        <v>54</v>
      </c>
      <c r="E14" s="628" t="s">
        <v>18</v>
      </c>
      <c r="F14" s="628" t="s">
        <v>30</v>
      </c>
      <c r="G14" s="628" t="s">
        <v>2</v>
      </c>
      <c r="H14" s="628" t="s">
        <v>3</v>
      </c>
      <c r="I14" s="628" t="s">
        <v>4</v>
      </c>
      <c r="J14" s="631" t="s">
        <v>55</v>
      </c>
      <c r="K14" s="629" t="s">
        <v>56</v>
      </c>
      <c r="L14" s="628" t="s">
        <v>18</v>
      </c>
      <c r="M14" s="629" t="s">
        <v>495</v>
      </c>
    </row>
    <row r="15" spans="1:18" s="176" customFormat="1" ht="43.5" hidden="1" customHeight="1" x14ac:dyDescent="0.25">
      <c r="A15" s="1049" t="s">
        <v>210</v>
      </c>
      <c r="B15" s="940" t="s">
        <v>502</v>
      </c>
      <c r="C15" s="978" t="s">
        <v>499</v>
      </c>
      <c r="D15" s="757" t="s">
        <v>452</v>
      </c>
      <c r="E15" s="35"/>
      <c r="F15" s="1094" t="s">
        <v>396</v>
      </c>
      <c r="G15" s="1095"/>
      <c r="H15" s="1095"/>
      <c r="I15" s="1095"/>
      <c r="J15" s="1095"/>
      <c r="K15" s="1096"/>
      <c r="L15" s="960" t="s">
        <v>136</v>
      </c>
      <c r="M15" s="1100" t="s">
        <v>645</v>
      </c>
    </row>
    <row r="16" spans="1:18" s="176" customFormat="1" ht="39.75" hidden="1" customHeight="1" thickBot="1" x14ac:dyDescent="0.3">
      <c r="A16" s="1050"/>
      <c r="B16" s="979" t="s">
        <v>36</v>
      </c>
      <c r="C16" s="979" t="s">
        <v>38</v>
      </c>
      <c r="D16" s="980" t="s">
        <v>514</v>
      </c>
      <c r="E16" s="35"/>
      <c r="F16" s="1097"/>
      <c r="G16" s="1098"/>
      <c r="H16" s="1098"/>
      <c r="I16" s="1098"/>
      <c r="J16" s="1098"/>
      <c r="K16" s="1099"/>
      <c r="L16" s="960" t="s">
        <v>136</v>
      </c>
      <c r="M16" s="1101"/>
    </row>
    <row r="17" spans="1:14" ht="16.5" thickBot="1" x14ac:dyDescent="0.3">
      <c r="A17" s="94" t="s">
        <v>199</v>
      </c>
      <c r="B17" s="23"/>
      <c r="C17" s="24"/>
      <c r="D17" s="25"/>
      <c r="E17" s="26"/>
      <c r="F17" s="26"/>
      <c r="G17" s="27"/>
      <c r="H17" s="27"/>
      <c r="I17" s="27"/>
      <c r="J17" s="27"/>
      <c r="K17" s="28"/>
      <c r="L17" s="25"/>
      <c r="M17" s="944"/>
    </row>
    <row r="18" spans="1:14" ht="15.75" x14ac:dyDescent="0.25">
      <c r="A18" s="193" t="s">
        <v>206</v>
      </c>
      <c r="B18" s="194"/>
      <c r="C18" s="194"/>
      <c r="D18" s="194"/>
      <c r="E18" s="194"/>
      <c r="F18" s="194"/>
      <c r="G18" s="194"/>
      <c r="H18" s="194"/>
      <c r="I18" s="194"/>
      <c r="J18" s="194"/>
      <c r="K18" s="195"/>
      <c r="L18" s="194"/>
      <c r="M18" s="195"/>
    </row>
    <row r="19" spans="1:14" ht="29.25" customHeight="1" thickBot="1" x14ac:dyDescent="0.3">
      <c r="A19" s="279" t="s">
        <v>0</v>
      </c>
      <c r="B19" s="267" t="s">
        <v>1</v>
      </c>
      <c r="C19" s="280" t="s">
        <v>14</v>
      </c>
      <c r="D19" s="267" t="s">
        <v>58</v>
      </c>
      <c r="E19" s="268" t="s">
        <v>18</v>
      </c>
      <c r="F19" s="268" t="s">
        <v>30</v>
      </c>
      <c r="G19" s="268" t="s">
        <v>2</v>
      </c>
      <c r="H19" s="280" t="s">
        <v>3</v>
      </c>
      <c r="I19" s="267" t="s">
        <v>4</v>
      </c>
      <c r="J19" s="280" t="s">
        <v>59</v>
      </c>
      <c r="K19" s="281" t="s">
        <v>31</v>
      </c>
      <c r="L19" s="267" t="s">
        <v>18</v>
      </c>
      <c r="M19" s="281" t="s">
        <v>495</v>
      </c>
    </row>
    <row r="20" spans="1:14" ht="29.25" customHeight="1" x14ac:dyDescent="0.25">
      <c r="A20" s="1049" t="s">
        <v>202</v>
      </c>
      <c r="B20" s="1053" t="s">
        <v>8</v>
      </c>
      <c r="C20" s="31" t="s">
        <v>9</v>
      </c>
      <c r="D20" s="180" t="s">
        <v>34</v>
      </c>
      <c r="E20" s="93"/>
      <c r="F20" s="756">
        <v>2.2399999999999998E-3</v>
      </c>
      <c r="G20" s="488">
        <f>F20*(128495*1.025)</f>
        <v>295.02452</v>
      </c>
      <c r="H20" s="617">
        <v>37.5</v>
      </c>
      <c r="I20" s="606">
        <f>G20+H20</f>
        <v>332.52452</v>
      </c>
      <c r="J20" s="487">
        <v>1</v>
      </c>
      <c r="K20" s="606">
        <f>I20*J20</f>
        <v>332.52452</v>
      </c>
      <c r="L20" s="960" t="s">
        <v>136</v>
      </c>
      <c r="M20" s="1012" t="s">
        <v>537</v>
      </c>
      <c r="N20" s="1013"/>
    </row>
    <row r="21" spans="1:14" ht="41.25" customHeight="1" thickBot="1" x14ac:dyDescent="0.3">
      <c r="A21" s="1050"/>
      <c r="B21" s="1051"/>
      <c r="C21" s="180" t="s">
        <v>276</v>
      </c>
      <c r="D21" s="179" t="s">
        <v>35</v>
      </c>
      <c r="E21" s="221"/>
      <c r="F21" s="221"/>
      <c r="G21" s="34"/>
      <c r="H21" s="34"/>
      <c r="I21" s="34"/>
      <c r="J21" s="34"/>
      <c r="K21" s="185"/>
      <c r="L21" s="960" t="s">
        <v>136</v>
      </c>
      <c r="M21" s="942" t="s">
        <v>526</v>
      </c>
    </row>
    <row r="22" spans="1:14" ht="15.75" x14ac:dyDescent="0.25">
      <c r="A22" s="205" t="s">
        <v>208</v>
      </c>
      <c r="B22" s="206"/>
      <c r="C22" s="206"/>
      <c r="D22" s="206"/>
      <c r="E22" s="206"/>
      <c r="F22" s="206"/>
      <c r="G22" s="206"/>
      <c r="H22" s="206"/>
      <c r="I22" s="206"/>
      <c r="J22" s="206"/>
      <c r="K22" s="210"/>
      <c r="L22" s="206"/>
      <c r="M22" s="210"/>
    </row>
    <row r="23" spans="1:14" ht="30.75" customHeight="1" thickBot="1" x14ac:dyDescent="0.3">
      <c r="A23" s="271" t="s">
        <v>0</v>
      </c>
      <c r="B23" s="266" t="s">
        <v>1</v>
      </c>
      <c r="C23" s="272" t="s">
        <v>14</v>
      </c>
      <c r="D23" s="266" t="s">
        <v>58</v>
      </c>
      <c r="E23" s="266" t="s">
        <v>18</v>
      </c>
      <c r="F23" s="266" t="s">
        <v>30</v>
      </c>
      <c r="G23" s="266" t="s">
        <v>2</v>
      </c>
      <c r="H23" s="272" t="s">
        <v>3</v>
      </c>
      <c r="I23" s="266" t="s">
        <v>4</v>
      </c>
      <c r="J23" s="272" t="s">
        <v>59</v>
      </c>
      <c r="K23" s="273" t="s">
        <v>31</v>
      </c>
      <c r="L23" s="266" t="s">
        <v>18</v>
      </c>
      <c r="M23" s="273" t="s">
        <v>495</v>
      </c>
    </row>
    <row r="24" spans="1:14" ht="29.25" customHeight="1" x14ac:dyDescent="0.25">
      <c r="A24" s="1049" t="s">
        <v>203</v>
      </c>
      <c r="B24" s="1053" t="s">
        <v>10</v>
      </c>
      <c r="C24" s="462" t="s">
        <v>19</v>
      </c>
      <c r="D24" s="103" t="s">
        <v>245</v>
      </c>
      <c r="E24" s="104"/>
      <c r="F24" s="615">
        <v>0</v>
      </c>
      <c r="G24" s="614">
        <v>0</v>
      </c>
      <c r="H24" s="614">
        <f>1*21.42</f>
        <v>21.42</v>
      </c>
      <c r="I24" s="614">
        <f>H24</f>
        <v>21.42</v>
      </c>
      <c r="J24" s="485">
        <v>1</v>
      </c>
      <c r="K24" s="614">
        <f>I24*J24</f>
        <v>21.42</v>
      </c>
      <c r="L24" s="964" t="s">
        <v>136</v>
      </c>
      <c r="M24" s="1039" t="s">
        <v>548</v>
      </c>
    </row>
    <row r="25" spans="1:14" ht="30" customHeight="1" thickBot="1" x14ac:dyDescent="0.3">
      <c r="A25" s="1052"/>
      <c r="B25" s="1054"/>
      <c r="C25" s="463" t="s">
        <v>11</v>
      </c>
      <c r="D25" s="196" t="s">
        <v>246</v>
      </c>
      <c r="E25" s="105"/>
      <c r="F25" s="105"/>
      <c r="G25" s="106"/>
      <c r="H25" s="106"/>
      <c r="I25" s="106"/>
      <c r="J25" s="106"/>
      <c r="K25" s="106"/>
      <c r="L25" s="961" t="s">
        <v>136</v>
      </c>
      <c r="M25" s="1040"/>
    </row>
    <row r="26" spans="1:14" ht="6" customHeight="1" thickBot="1" x14ac:dyDescent="0.3">
      <c r="B26" s="22"/>
      <c r="G26" s="579" t="s">
        <v>432</v>
      </c>
    </row>
    <row r="27" spans="1:14" ht="15.75" thickBot="1" x14ac:dyDescent="0.3">
      <c r="B27" s="1045" t="s">
        <v>12</v>
      </c>
      <c r="C27" s="32" t="s">
        <v>48</v>
      </c>
      <c r="D27" s="79">
        <v>0</v>
      </c>
      <c r="G27" s="878">
        <v>1154</v>
      </c>
      <c r="H27" s="215"/>
      <c r="I27" s="215" t="s">
        <v>304</v>
      </c>
    </row>
    <row r="28" spans="1:14" ht="15.75" thickBot="1" x14ac:dyDescent="0.3">
      <c r="B28" s="1046"/>
      <c r="C28" s="21" t="s">
        <v>49</v>
      </c>
      <c r="D28" s="80">
        <v>271.625</v>
      </c>
      <c r="G28" s="872">
        <v>265</v>
      </c>
    </row>
    <row r="29" spans="1:14" ht="15.75" thickBot="1" x14ac:dyDescent="0.3">
      <c r="B29" s="1046"/>
      <c r="C29" s="21" t="s">
        <v>50</v>
      </c>
      <c r="D29" s="80">
        <v>1511.193560875</v>
      </c>
      <c r="G29" s="846">
        <v>1482</v>
      </c>
    </row>
    <row r="30" spans="1:14" ht="15.75" thickBot="1" x14ac:dyDescent="0.3">
      <c r="B30" s="1046"/>
      <c r="C30" s="81" t="s">
        <v>51</v>
      </c>
      <c r="D30" s="80">
        <v>332.52452</v>
      </c>
      <c r="G30" s="872">
        <v>325.5</v>
      </c>
    </row>
    <row r="31" spans="1:14" ht="15.75" thickBot="1" x14ac:dyDescent="0.3">
      <c r="B31" s="1046"/>
      <c r="C31" s="81" t="s">
        <v>52</v>
      </c>
      <c r="D31" s="80">
        <v>21.42</v>
      </c>
      <c r="G31" s="846">
        <v>21.88</v>
      </c>
    </row>
    <row r="32" spans="1:14" ht="15.75" thickBot="1" x14ac:dyDescent="0.3">
      <c r="B32" s="1086"/>
      <c r="C32" s="43" t="s">
        <v>23</v>
      </c>
      <c r="D32" s="82">
        <v>2136.763080875</v>
      </c>
      <c r="G32" s="874">
        <v>3248.38</v>
      </c>
    </row>
    <row r="33" spans="1:6" ht="8.25" customHeight="1" x14ac:dyDescent="0.25">
      <c r="B33" s="33"/>
      <c r="E33" s="107">
        <v>24.19</v>
      </c>
      <c r="F33" s="107"/>
    </row>
    <row r="34" spans="1:6" x14ac:dyDescent="0.25">
      <c r="A34" s="176" t="s">
        <v>374</v>
      </c>
      <c r="D34" s="54"/>
    </row>
    <row r="35" spans="1:6" x14ac:dyDescent="0.25">
      <c r="A35" s="176" t="s">
        <v>392</v>
      </c>
    </row>
    <row r="36" spans="1:6" x14ac:dyDescent="0.25">
      <c r="E36" s="108"/>
      <c r="F36" s="108"/>
    </row>
  </sheetData>
  <mergeCells count="17">
    <mergeCell ref="M24:M25"/>
    <mergeCell ref="L11:L12"/>
    <mergeCell ref="F15:K16"/>
    <mergeCell ref="B27:B32"/>
    <mergeCell ref="A11:A12"/>
    <mergeCell ref="G11:G12"/>
    <mergeCell ref="H11:H12"/>
    <mergeCell ref="I11:I12"/>
    <mergeCell ref="J11:J12"/>
    <mergeCell ref="K11:K12"/>
    <mergeCell ref="M15:M16"/>
    <mergeCell ref="A5:A6"/>
    <mergeCell ref="A15:A16"/>
    <mergeCell ref="A20:A21"/>
    <mergeCell ref="B20:B21"/>
    <mergeCell ref="A24:A25"/>
    <mergeCell ref="B24:B25"/>
  </mergeCells>
  <conditionalFormatting sqref="L5:L8">
    <cfRule type="cellIs" dxfId="355" priority="17" operator="equal">
      <formula>$P$7</formula>
    </cfRule>
    <cfRule type="cellIs" dxfId="354" priority="18" operator="equal">
      <formula>$P$6</formula>
    </cfRule>
    <cfRule type="cellIs" dxfId="353" priority="19" operator="equal">
      <formula>$P$5</formula>
    </cfRule>
    <cfRule type="cellIs" dxfId="352" priority="20" operator="notEqual">
      <formula>$P$4</formula>
    </cfRule>
  </conditionalFormatting>
  <conditionalFormatting sqref="L11">
    <cfRule type="cellIs" dxfId="351" priority="13" operator="equal">
      <formula>$P$7</formula>
    </cfRule>
    <cfRule type="cellIs" dxfId="350" priority="14" operator="equal">
      <formula>$P$6</formula>
    </cfRule>
    <cfRule type="cellIs" dxfId="349" priority="15" operator="equal">
      <formula>$P$5</formula>
    </cfRule>
    <cfRule type="cellIs" dxfId="348" priority="16" operator="notEqual">
      <formula>$P$4</formula>
    </cfRule>
  </conditionalFormatting>
  <conditionalFormatting sqref="L15:L16">
    <cfRule type="cellIs" dxfId="347" priority="9" operator="equal">
      <formula>$P$7</formula>
    </cfRule>
    <cfRule type="cellIs" dxfId="346" priority="10" operator="equal">
      <formula>$P$6</formula>
    </cfRule>
    <cfRule type="cellIs" dxfId="345" priority="11" operator="equal">
      <formula>$P$5</formula>
    </cfRule>
    <cfRule type="cellIs" dxfId="344" priority="12" operator="notEqual">
      <formula>$P$4</formula>
    </cfRule>
  </conditionalFormatting>
  <conditionalFormatting sqref="L20:L21">
    <cfRule type="cellIs" dxfId="343" priority="5" operator="equal">
      <formula>$P$7</formula>
    </cfRule>
    <cfRule type="cellIs" dxfId="342" priority="6" operator="equal">
      <formula>$P$6</formula>
    </cfRule>
    <cfRule type="cellIs" dxfId="341" priority="7" operator="equal">
      <formula>$P$5</formula>
    </cfRule>
    <cfRule type="cellIs" dxfId="340" priority="8" operator="notEqual">
      <formula>$P$4</formula>
    </cfRule>
  </conditionalFormatting>
  <conditionalFormatting sqref="L24:L25">
    <cfRule type="cellIs" dxfId="339" priority="1" operator="equal">
      <formula>$P$7</formula>
    </cfRule>
    <cfRule type="cellIs" dxfId="338" priority="2" operator="equal">
      <formula>$P$6</formula>
    </cfRule>
    <cfRule type="cellIs" dxfId="337" priority="3" operator="equal">
      <formula>$P$5</formula>
    </cfRule>
    <cfRule type="cellIs" dxfId="336" priority="4" operator="notEqual">
      <formula>$P$4</formula>
    </cfRule>
  </conditionalFormatting>
  <dataValidations count="1">
    <dataValidation type="list" allowBlank="1" showInputMessage="1" showErrorMessage="1" sqref="L5:L8 L11 L15:L16 L20:L21 L24:L25" xr:uid="{73848A28-7D1F-410E-9069-3D8F512D79C8}">
      <formula1>$P$4:$P$7</formula1>
    </dataValidation>
  </dataValidations>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R35"/>
  <sheetViews>
    <sheetView topLeftCell="A16" zoomScaleNormal="100" workbookViewId="0">
      <selection activeCell="O11" sqref="O11"/>
    </sheetView>
  </sheetViews>
  <sheetFormatPr defaultRowHeight="15" x14ac:dyDescent="0.25"/>
  <cols>
    <col min="1" max="1" width="14.85546875" customWidth="1"/>
    <col min="2" max="2" width="46.140625" customWidth="1"/>
    <col min="3" max="3" width="40.42578125" customWidth="1"/>
    <col min="4" max="4" width="39" customWidth="1"/>
    <col min="5" max="6" width="8.140625" hidden="1" customWidth="1"/>
    <col min="7" max="7" width="7.85546875" hidden="1" customWidth="1"/>
    <col min="8" max="8" width="10" hidden="1" customWidth="1"/>
    <col min="9" max="10" width="7.28515625" hidden="1" customWidth="1"/>
    <col min="11" max="11" width="10.42578125" hidden="1" customWidth="1"/>
    <col min="13" max="13" width="35.140625" customWidth="1"/>
    <col min="17" max="18" width="0" hidden="1" customWidth="1"/>
  </cols>
  <sheetData>
    <row r="1" spans="1:18" ht="18" x14ac:dyDescent="0.25">
      <c r="A1" s="735" t="s">
        <v>556</v>
      </c>
      <c r="J1" s="4"/>
      <c r="K1" s="573" t="s">
        <v>331</v>
      </c>
      <c r="M1" s="1014">
        <v>43586</v>
      </c>
    </row>
    <row r="2" spans="1:18" ht="5.25" customHeight="1" thickBot="1" x14ac:dyDescent="0.3"/>
    <row r="3" spans="1:18" ht="17.25" customHeight="1" x14ac:dyDescent="0.25">
      <c r="A3" s="782" t="s">
        <v>197</v>
      </c>
      <c r="B3" s="294"/>
      <c r="C3" s="294"/>
      <c r="D3" s="294"/>
      <c r="E3" s="294"/>
      <c r="F3" s="294"/>
      <c r="G3" s="294"/>
      <c r="H3" s="294"/>
      <c r="I3" s="294"/>
      <c r="J3" s="294"/>
      <c r="K3" s="296"/>
      <c r="L3" s="294"/>
      <c r="M3" s="296"/>
      <c r="Q3" s="176"/>
      <c r="R3" s="176"/>
    </row>
    <row r="4" spans="1:18" s="176" customFormat="1" ht="33" customHeight="1" thickBot="1" x14ac:dyDescent="0.3">
      <c r="A4" s="297" t="s">
        <v>0</v>
      </c>
      <c r="B4" s="298" t="s">
        <v>1</v>
      </c>
      <c r="C4" s="299" t="s">
        <v>14</v>
      </c>
      <c r="D4" s="298" t="s">
        <v>17</v>
      </c>
      <c r="E4" s="298" t="s">
        <v>18</v>
      </c>
      <c r="F4" s="298" t="s">
        <v>30</v>
      </c>
      <c r="G4" s="298" t="s">
        <v>2</v>
      </c>
      <c r="H4" s="299" t="s">
        <v>3</v>
      </c>
      <c r="I4" s="298" t="s">
        <v>4</v>
      </c>
      <c r="J4" s="299" t="s">
        <v>5</v>
      </c>
      <c r="K4" s="301" t="s">
        <v>31</v>
      </c>
      <c r="L4" s="298" t="s">
        <v>18</v>
      </c>
      <c r="M4" s="301" t="s">
        <v>495</v>
      </c>
      <c r="Q4" s="945"/>
      <c r="R4" s="176" t="s">
        <v>136</v>
      </c>
    </row>
    <row r="5" spans="1:18" s="176" customFormat="1" ht="29.25" customHeight="1" x14ac:dyDescent="0.25">
      <c r="A5" s="1049" t="s">
        <v>205</v>
      </c>
      <c r="B5" s="144" t="s">
        <v>412</v>
      </c>
      <c r="C5" s="147" t="s">
        <v>42</v>
      </c>
      <c r="D5" s="415" t="s">
        <v>46</v>
      </c>
      <c r="E5" s="72"/>
      <c r="F5" s="767">
        <v>5.0499999999999998E-3</v>
      </c>
      <c r="G5" s="617">
        <f>F5*(153939*1.025)</f>
        <v>796.82674874999987</v>
      </c>
      <c r="H5" s="488">
        <v>712</v>
      </c>
      <c r="I5" s="488">
        <f>G5+H5</f>
        <v>1508.8267487499998</v>
      </c>
      <c r="J5" s="531">
        <v>1</v>
      </c>
      <c r="K5" s="532">
        <f>I5*J5</f>
        <v>1508.8267487499998</v>
      </c>
      <c r="L5" s="960" t="s">
        <v>136</v>
      </c>
      <c r="M5" s="941" t="s">
        <v>624</v>
      </c>
      <c r="Q5" s="946"/>
      <c r="R5" s="176" t="s">
        <v>496</v>
      </c>
    </row>
    <row r="6" spans="1:18" ht="42" customHeight="1" x14ac:dyDescent="0.25">
      <c r="A6" s="1050"/>
      <c r="B6" s="144" t="s">
        <v>40</v>
      </c>
      <c r="C6" s="144" t="s">
        <v>45</v>
      </c>
      <c r="D6" s="144" t="s">
        <v>666</v>
      </c>
      <c r="E6" s="8"/>
      <c r="F6" s="12"/>
      <c r="G6" s="12"/>
      <c r="H6" s="12"/>
      <c r="I6" s="12"/>
      <c r="J6" s="12"/>
      <c r="K6" s="14"/>
      <c r="L6" s="960" t="s">
        <v>136</v>
      </c>
      <c r="M6" s="1017" t="s">
        <v>622</v>
      </c>
      <c r="Q6" s="947"/>
      <c r="R6" s="176" t="s">
        <v>497</v>
      </c>
    </row>
    <row r="7" spans="1:18" ht="30.75" customHeight="1" x14ac:dyDescent="0.25">
      <c r="A7" s="1050"/>
      <c r="B7" s="413" t="s">
        <v>41</v>
      </c>
      <c r="C7" s="413" t="s">
        <v>43</v>
      </c>
      <c r="D7" s="717" t="s">
        <v>373</v>
      </c>
      <c r="E7" s="7"/>
      <c r="F7" s="7"/>
      <c r="G7" s="12"/>
      <c r="H7" s="13"/>
      <c r="I7" s="12"/>
      <c r="J7" s="13"/>
      <c r="K7" s="14"/>
      <c r="L7" s="960" t="s">
        <v>136</v>
      </c>
      <c r="M7" s="988" t="s">
        <v>623</v>
      </c>
      <c r="Q7" s="948"/>
      <c r="R7" s="176" t="s">
        <v>498</v>
      </c>
    </row>
    <row r="8" spans="1:18" ht="27.75" customHeight="1" thickBot="1" x14ac:dyDescent="0.3">
      <c r="A8" s="223"/>
      <c r="B8" s="144" t="s">
        <v>37</v>
      </c>
      <c r="C8" s="144" t="s">
        <v>44</v>
      </c>
      <c r="D8" s="336" t="s">
        <v>661</v>
      </c>
      <c r="E8" s="7"/>
      <c r="F8" s="7"/>
      <c r="G8" s="12"/>
      <c r="H8" s="13"/>
      <c r="I8" s="12"/>
      <c r="J8" s="13"/>
      <c r="K8" s="14"/>
      <c r="L8" s="960" t="s">
        <v>136</v>
      </c>
      <c r="M8" s="999" t="s">
        <v>624</v>
      </c>
    </row>
    <row r="9" spans="1:18" ht="15.75" x14ac:dyDescent="0.25">
      <c r="A9" s="207" t="s">
        <v>198</v>
      </c>
      <c r="B9" s="208"/>
      <c r="C9" s="208"/>
      <c r="D9" s="208"/>
      <c r="E9" s="208"/>
      <c r="F9" s="208"/>
      <c r="G9" s="208"/>
      <c r="H9" s="208"/>
      <c r="I9" s="208"/>
      <c r="J9" s="208"/>
      <c r="K9" s="211"/>
      <c r="L9" s="691"/>
      <c r="M9" s="692"/>
    </row>
    <row r="10" spans="1:18" ht="30.75" customHeight="1" thickBot="1" x14ac:dyDescent="0.3">
      <c r="A10" s="274" t="s">
        <v>0</v>
      </c>
      <c r="B10" s="275" t="s">
        <v>1</v>
      </c>
      <c r="C10" s="276" t="s">
        <v>16</v>
      </c>
      <c r="D10" s="275" t="s">
        <v>17</v>
      </c>
      <c r="E10" s="275" t="s">
        <v>18</v>
      </c>
      <c r="F10" s="275" t="s">
        <v>30</v>
      </c>
      <c r="G10" s="275" t="s">
        <v>2</v>
      </c>
      <c r="H10" s="276" t="s">
        <v>3</v>
      </c>
      <c r="I10" s="275" t="s">
        <v>4</v>
      </c>
      <c r="J10" s="276" t="s">
        <v>5</v>
      </c>
      <c r="K10" s="277" t="s">
        <v>31</v>
      </c>
      <c r="L10" s="275" t="s">
        <v>18</v>
      </c>
      <c r="M10" s="277" t="s">
        <v>495</v>
      </c>
    </row>
    <row r="11" spans="1:18" ht="39" customHeight="1" x14ac:dyDescent="0.25">
      <c r="A11" s="1049" t="s">
        <v>204</v>
      </c>
      <c r="B11" s="3" t="s">
        <v>6</v>
      </c>
      <c r="C11" s="1051" t="s">
        <v>27</v>
      </c>
      <c r="D11" s="570" t="s">
        <v>263</v>
      </c>
      <c r="E11" s="7"/>
      <c r="F11" s="749">
        <v>1.495E-3</v>
      </c>
      <c r="G11" s="1087">
        <f>F11*(176702*1.025)</f>
        <v>270.77372724999998</v>
      </c>
      <c r="H11" s="1088" t="s">
        <v>22</v>
      </c>
      <c r="I11" s="1087">
        <f>G11</f>
        <v>270.77372724999998</v>
      </c>
      <c r="J11" s="1089">
        <v>1</v>
      </c>
      <c r="K11" s="1090">
        <f>I11*J11</f>
        <v>270.77372724999998</v>
      </c>
      <c r="L11" s="1066" t="s">
        <v>136</v>
      </c>
      <c r="M11" s="938"/>
    </row>
    <row r="12" spans="1:18" ht="39.75" customHeight="1" thickBot="1" x14ac:dyDescent="0.3">
      <c r="A12" s="1052"/>
      <c r="B12" s="3" t="s">
        <v>7</v>
      </c>
      <c r="C12" s="1051"/>
      <c r="D12" s="68"/>
      <c r="E12" s="75"/>
      <c r="F12" s="608"/>
      <c r="G12" s="1087"/>
      <c r="H12" s="1088"/>
      <c r="I12" s="1087"/>
      <c r="J12" s="1089"/>
      <c r="K12" s="1102"/>
      <c r="L12" s="1067"/>
      <c r="M12" s="938"/>
    </row>
    <row r="13" spans="1:18" s="176" customFormat="1" ht="17.25" customHeight="1" x14ac:dyDescent="0.25">
      <c r="A13" s="792" t="s">
        <v>209</v>
      </c>
      <c r="B13" s="625"/>
      <c r="C13" s="625"/>
      <c r="D13" s="625"/>
      <c r="E13" s="625"/>
      <c r="F13" s="625"/>
      <c r="G13" s="625"/>
      <c r="H13" s="625"/>
      <c r="I13" s="625"/>
      <c r="J13" s="625"/>
      <c r="K13" s="626"/>
      <c r="L13" s="625"/>
      <c r="M13" s="626"/>
    </row>
    <row r="14" spans="1:18" s="176" customFormat="1" ht="29.25" customHeight="1" thickBot="1" x14ac:dyDescent="0.3">
      <c r="A14" s="627" t="s">
        <v>0</v>
      </c>
      <c r="B14" s="628" t="s">
        <v>1</v>
      </c>
      <c r="C14" s="628" t="s">
        <v>14</v>
      </c>
      <c r="D14" s="628" t="s">
        <v>32</v>
      </c>
      <c r="E14" s="628" t="s">
        <v>18</v>
      </c>
      <c r="F14" s="628" t="s">
        <v>30</v>
      </c>
      <c r="G14" s="628" t="s">
        <v>2</v>
      </c>
      <c r="H14" s="628" t="s">
        <v>3</v>
      </c>
      <c r="I14" s="628" t="s">
        <v>4</v>
      </c>
      <c r="J14" s="628" t="s">
        <v>29</v>
      </c>
      <c r="K14" s="629" t="s">
        <v>56</v>
      </c>
      <c r="L14" s="628" t="s">
        <v>18</v>
      </c>
      <c r="M14" s="629" t="s">
        <v>495</v>
      </c>
    </row>
    <row r="15" spans="1:18" s="176" customFormat="1" ht="27.75" customHeight="1" x14ac:dyDescent="0.25">
      <c r="A15" s="1049" t="s">
        <v>210</v>
      </c>
      <c r="B15" s="940" t="s">
        <v>503</v>
      </c>
      <c r="C15" s="978" t="s">
        <v>499</v>
      </c>
      <c r="D15" s="757" t="s">
        <v>452</v>
      </c>
      <c r="E15" s="69"/>
      <c r="F15" s="801">
        <v>7.4700000000000001E-3</v>
      </c>
      <c r="G15" s="609">
        <f>F15*(153816*1.025)</f>
        <v>1177.7306579999999</v>
      </c>
      <c r="H15" s="473">
        <v>0</v>
      </c>
      <c r="I15" s="472">
        <f>G15</f>
        <v>1177.7306579999999</v>
      </c>
      <c r="J15" s="485">
        <v>1</v>
      </c>
      <c r="K15" s="486">
        <f>I15*J15</f>
        <v>1177.7306579999999</v>
      </c>
      <c r="L15" s="960" t="s">
        <v>136</v>
      </c>
      <c r="M15" s="1091" t="s">
        <v>667</v>
      </c>
    </row>
    <row r="16" spans="1:18" s="176" customFormat="1" ht="76.5" customHeight="1" thickBot="1" x14ac:dyDescent="0.3">
      <c r="A16" s="1050"/>
      <c r="B16" s="979" t="s">
        <v>36</v>
      </c>
      <c r="C16" s="979" t="s">
        <v>38</v>
      </c>
      <c r="D16" s="980" t="s">
        <v>514</v>
      </c>
      <c r="E16" s="70"/>
      <c r="F16" s="35"/>
      <c r="G16" s="34"/>
      <c r="H16" s="34"/>
      <c r="I16" s="34"/>
      <c r="J16" s="34"/>
      <c r="K16" s="14"/>
      <c r="L16" s="960" t="s">
        <v>136</v>
      </c>
      <c r="M16" s="1092"/>
    </row>
    <row r="17" spans="1:13" ht="16.5" thickBot="1" x14ac:dyDescent="0.3">
      <c r="A17" s="36" t="s">
        <v>199</v>
      </c>
      <c r="B17" s="23"/>
      <c r="C17" s="24"/>
      <c r="D17" s="25"/>
      <c r="E17" s="26"/>
      <c r="F17" s="26"/>
      <c r="G17" s="27"/>
      <c r="H17" s="27"/>
      <c r="I17" s="27"/>
      <c r="J17" s="27"/>
      <c r="K17" s="28"/>
      <c r="L17" s="25"/>
      <c r="M17" s="944"/>
    </row>
    <row r="18" spans="1:13" ht="15.75" x14ac:dyDescent="0.25">
      <c r="A18" s="193" t="s">
        <v>200</v>
      </c>
      <c r="B18" s="194"/>
      <c r="C18" s="194"/>
      <c r="D18" s="194"/>
      <c r="E18" s="194"/>
      <c r="F18" s="194"/>
      <c r="G18" s="194"/>
      <c r="H18" s="194"/>
      <c r="I18" s="194"/>
      <c r="J18" s="194"/>
      <c r="K18" s="195"/>
      <c r="L18" s="194"/>
      <c r="M18" s="195"/>
    </row>
    <row r="19" spans="1:13" ht="30.75" customHeight="1" thickBot="1" x14ac:dyDescent="0.3">
      <c r="A19" s="279" t="s">
        <v>0</v>
      </c>
      <c r="B19" s="267" t="s">
        <v>1</v>
      </c>
      <c r="C19" s="280" t="s">
        <v>14</v>
      </c>
      <c r="D19" s="267" t="s">
        <v>17</v>
      </c>
      <c r="E19" s="268" t="s">
        <v>18</v>
      </c>
      <c r="F19" s="268" t="s">
        <v>30</v>
      </c>
      <c r="G19" s="268" t="s">
        <v>2</v>
      </c>
      <c r="H19" s="280" t="s">
        <v>3</v>
      </c>
      <c r="I19" s="267" t="s">
        <v>4</v>
      </c>
      <c r="J19" s="280" t="s">
        <v>5</v>
      </c>
      <c r="K19" s="281" t="s">
        <v>31</v>
      </c>
      <c r="L19" s="267" t="s">
        <v>18</v>
      </c>
      <c r="M19" s="281" t="s">
        <v>495</v>
      </c>
    </row>
    <row r="20" spans="1:13" ht="27.75" customHeight="1" x14ac:dyDescent="0.25">
      <c r="A20" s="1049" t="s">
        <v>264</v>
      </c>
      <c r="B20" s="1053" t="s">
        <v>8</v>
      </c>
      <c r="C20" s="242" t="s">
        <v>9</v>
      </c>
      <c r="D20" s="179" t="s">
        <v>34</v>
      </c>
      <c r="E20" s="60"/>
      <c r="F20" s="754">
        <v>4.7999999999999996E-3</v>
      </c>
      <c r="G20" s="472">
        <f>F20*(128492*1.025)</f>
        <v>632.18063999999993</v>
      </c>
      <c r="H20" s="473">
        <v>73</v>
      </c>
      <c r="I20" s="472">
        <f>G20+H20</f>
        <v>705.18063999999993</v>
      </c>
      <c r="J20" s="485">
        <v>1</v>
      </c>
      <c r="K20" s="609">
        <f>I20*J20</f>
        <v>705.18063999999993</v>
      </c>
      <c r="L20" s="960" t="s">
        <v>136</v>
      </c>
      <c r="M20" s="1012" t="s">
        <v>538</v>
      </c>
    </row>
    <row r="21" spans="1:13" ht="30" customHeight="1" thickBot="1" x14ac:dyDescent="0.3">
      <c r="A21" s="1052"/>
      <c r="B21" s="1051"/>
      <c r="C21" s="179" t="s">
        <v>266</v>
      </c>
      <c r="D21" s="179" t="s">
        <v>35</v>
      </c>
      <c r="E21" s="7"/>
      <c r="F21" s="7"/>
      <c r="G21" s="185"/>
      <c r="H21" s="185"/>
      <c r="I21" s="186"/>
      <c r="J21" s="185"/>
      <c r="K21" s="192"/>
      <c r="L21" s="960" t="s">
        <v>136</v>
      </c>
      <c r="M21" s="942" t="s">
        <v>526</v>
      </c>
    </row>
    <row r="22" spans="1:13" ht="15.75" x14ac:dyDescent="0.25">
      <c r="A22" s="205" t="s">
        <v>201</v>
      </c>
      <c r="B22" s="206"/>
      <c r="C22" s="206"/>
      <c r="D22" s="206"/>
      <c r="E22" s="206"/>
      <c r="F22" s="206"/>
      <c r="G22" s="206"/>
      <c r="H22" s="206"/>
      <c r="I22" s="206"/>
      <c r="J22" s="206"/>
      <c r="K22" s="210"/>
      <c r="L22" s="206"/>
      <c r="M22" s="210"/>
    </row>
    <row r="23" spans="1:13" ht="29.25" customHeight="1" thickBot="1" x14ac:dyDescent="0.3">
      <c r="A23" s="271" t="s">
        <v>0</v>
      </c>
      <c r="B23" s="266" t="s">
        <v>1</v>
      </c>
      <c r="C23" s="272" t="s">
        <v>14</v>
      </c>
      <c r="D23" s="266" t="s">
        <v>17</v>
      </c>
      <c r="E23" s="266" t="s">
        <v>18</v>
      </c>
      <c r="F23" s="266" t="s">
        <v>30</v>
      </c>
      <c r="G23" s="266" t="s">
        <v>2</v>
      </c>
      <c r="H23" s="272" t="s">
        <v>3</v>
      </c>
      <c r="I23" s="266" t="s">
        <v>4</v>
      </c>
      <c r="J23" s="272" t="s">
        <v>5</v>
      </c>
      <c r="K23" s="273" t="s">
        <v>31</v>
      </c>
      <c r="L23" s="266" t="s">
        <v>18</v>
      </c>
      <c r="M23" s="273" t="s">
        <v>495</v>
      </c>
    </row>
    <row r="24" spans="1:13" ht="28.5" customHeight="1" x14ac:dyDescent="0.25">
      <c r="A24" s="1049" t="s">
        <v>203</v>
      </c>
      <c r="B24" s="1053" t="s">
        <v>10</v>
      </c>
      <c r="C24" s="462" t="s">
        <v>19</v>
      </c>
      <c r="D24" s="103" t="s">
        <v>245</v>
      </c>
      <c r="E24" s="30"/>
      <c r="F24" s="615">
        <v>0</v>
      </c>
      <c r="G24" s="614">
        <v>0</v>
      </c>
      <c r="H24" s="614">
        <f>2*21.42</f>
        <v>42.84</v>
      </c>
      <c r="I24" s="614">
        <f>H24</f>
        <v>42.84</v>
      </c>
      <c r="J24" s="485">
        <v>1</v>
      </c>
      <c r="K24" s="616">
        <f>I24*J24</f>
        <v>42.84</v>
      </c>
      <c r="L24" s="960" t="s">
        <v>136</v>
      </c>
      <c r="M24" s="1039" t="s">
        <v>548</v>
      </c>
    </row>
    <row r="25" spans="1:13" ht="28.5" customHeight="1" thickBot="1" x14ac:dyDescent="0.3">
      <c r="A25" s="1052"/>
      <c r="B25" s="1054"/>
      <c r="C25" s="463" t="s">
        <v>11</v>
      </c>
      <c r="D25" s="196" t="s">
        <v>246</v>
      </c>
      <c r="E25" s="11"/>
      <c r="F25" s="11"/>
      <c r="G25" s="17"/>
      <c r="H25" s="18"/>
      <c r="I25" s="52"/>
      <c r="J25" s="18"/>
      <c r="K25" s="437"/>
      <c r="L25" s="961" t="s">
        <v>136</v>
      </c>
      <c r="M25" s="1040"/>
    </row>
    <row r="26" spans="1:13" ht="6" customHeight="1" thickBot="1" x14ac:dyDescent="0.3">
      <c r="F26" s="215"/>
      <c r="G26" s="897" t="s">
        <v>432</v>
      </c>
    </row>
    <row r="27" spans="1:13" ht="14.25" customHeight="1" thickBot="1" x14ac:dyDescent="0.3">
      <c r="A27" s="2"/>
      <c r="B27" s="1045" t="s">
        <v>12</v>
      </c>
      <c r="C27" s="702" t="s">
        <v>48</v>
      </c>
      <c r="D27" s="1189">
        <v>1177.7306579999999</v>
      </c>
      <c r="E27" s="5"/>
      <c r="F27" s="5"/>
      <c r="G27" s="878">
        <v>128439</v>
      </c>
      <c r="I27" s="47" t="s">
        <v>307</v>
      </c>
    </row>
    <row r="28" spans="1:13" ht="14.25" customHeight="1" thickBot="1" x14ac:dyDescent="0.3">
      <c r="A28" s="2"/>
      <c r="B28" s="1046"/>
      <c r="C28" s="1185" t="s">
        <v>49</v>
      </c>
      <c r="D28" s="1190">
        <v>270.77372724999998</v>
      </c>
      <c r="E28" s="5"/>
      <c r="F28" s="5"/>
      <c r="G28" s="872">
        <v>4312</v>
      </c>
    </row>
    <row r="29" spans="1:13" ht="15.75" thickBot="1" x14ac:dyDescent="0.3">
      <c r="A29" s="2"/>
      <c r="B29" s="1046"/>
      <c r="C29" s="1185" t="s">
        <v>50</v>
      </c>
      <c r="D29" s="1190">
        <v>1508.8267487499998</v>
      </c>
      <c r="E29" s="5"/>
      <c r="F29" s="5"/>
      <c r="G29" s="846">
        <v>1482</v>
      </c>
    </row>
    <row r="30" spans="1:13" ht="15.75" thickBot="1" x14ac:dyDescent="0.3">
      <c r="A30" s="2"/>
      <c r="B30" s="1046"/>
      <c r="C30" s="1186" t="s">
        <v>51</v>
      </c>
      <c r="D30" s="1190">
        <v>758</v>
      </c>
      <c r="E30" s="6"/>
      <c r="F30" s="6"/>
      <c r="G30" s="872">
        <v>3991</v>
      </c>
    </row>
    <row r="31" spans="1:13" ht="15.75" hidden="1" thickBot="1" x14ac:dyDescent="0.3">
      <c r="A31" s="2"/>
      <c r="B31" s="1046"/>
      <c r="C31" s="1186" t="s">
        <v>52</v>
      </c>
      <c r="D31" s="1190">
        <v>42.84</v>
      </c>
      <c r="E31" s="6"/>
      <c r="F31" s="6"/>
      <c r="G31" s="879">
        <v>262.56</v>
      </c>
    </row>
    <row r="32" spans="1:13" ht="15.75" hidden="1" thickBot="1" x14ac:dyDescent="0.3">
      <c r="A32" s="2"/>
      <c r="B32" s="1046"/>
      <c r="C32" s="1187" t="s">
        <v>23</v>
      </c>
      <c r="D32" s="1191">
        <v>3705.3517739999998</v>
      </c>
      <c r="E32" s="6"/>
      <c r="F32" s="6"/>
      <c r="G32" s="910" t="s">
        <v>436</v>
      </c>
    </row>
    <row r="33" spans="1:7" ht="13.5" customHeight="1" thickBot="1" x14ac:dyDescent="0.3">
      <c r="A33" s="2"/>
      <c r="B33" s="1048"/>
      <c r="C33" s="1188" t="s">
        <v>310</v>
      </c>
      <c r="D33" s="1192">
        <v>553</v>
      </c>
      <c r="E33" s="6"/>
      <c r="F33" s="6"/>
      <c r="G33" t="s">
        <v>433</v>
      </c>
    </row>
    <row r="34" spans="1:7" x14ac:dyDescent="0.25">
      <c r="A34" s="176"/>
      <c r="D34" s="54"/>
      <c r="E34" s="47">
        <v>18</v>
      </c>
      <c r="F34" s="47"/>
    </row>
    <row r="35" spans="1:7" x14ac:dyDescent="0.25">
      <c r="A35" s="176"/>
    </row>
  </sheetData>
  <mergeCells count="17">
    <mergeCell ref="M24:M25"/>
    <mergeCell ref="L11:L12"/>
    <mergeCell ref="G11:G12"/>
    <mergeCell ref="H11:H12"/>
    <mergeCell ref="I11:I12"/>
    <mergeCell ref="J11:J12"/>
    <mergeCell ref="K11:K12"/>
    <mergeCell ref="M15:M16"/>
    <mergeCell ref="A15:A16"/>
    <mergeCell ref="B20:B21"/>
    <mergeCell ref="A5:A7"/>
    <mergeCell ref="B27:B33"/>
    <mergeCell ref="C11:C12"/>
    <mergeCell ref="A11:A12"/>
    <mergeCell ref="A24:A25"/>
    <mergeCell ref="A20:A21"/>
    <mergeCell ref="B24:B25"/>
  </mergeCells>
  <conditionalFormatting sqref="L5:L8">
    <cfRule type="cellIs" dxfId="335" priority="17" operator="equal">
      <formula>$P$7</formula>
    </cfRule>
    <cfRule type="cellIs" dxfId="334" priority="18" operator="equal">
      <formula>$P$6</formula>
    </cfRule>
    <cfRule type="cellIs" dxfId="333" priority="19" operator="equal">
      <formula>$P$5</formula>
    </cfRule>
    <cfRule type="cellIs" dxfId="332" priority="20" operator="notEqual">
      <formula>$P$4</formula>
    </cfRule>
  </conditionalFormatting>
  <conditionalFormatting sqref="L11">
    <cfRule type="cellIs" dxfId="331" priority="13" operator="equal">
      <formula>$P$7</formula>
    </cfRule>
    <cfRule type="cellIs" dxfId="330" priority="14" operator="equal">
      <formula>$P$6</formula>
    </cfRule>
    <cfRule type="cellIs" dxfId="329" priority="15" operator="equal">
      <formula>$P$5</formula>
    </cfRule>
    <cfRule type="cellIs" dxfId="328" priority="16" operator="notEqual">
      <formula>$P$4</formula>
    </cfRule>
  </conditionalFormatting>
  <conditionalFormatting sqref="L15:L16">
    <cfRule type="cellIs" dxfId="327" priority="9" operator="equal">
      <formula>$P$7</formula>
    </cfRule>
    <cfRule type="cellIs" dxfId="326" priority="10" operator="equal">
      <formula>$P$6</formula>
    </cfRule>
    <cfRule type="cellIs" dxfId="325" priority="11" operator="equal">
      <formula>$P$5</formula>
    </cfRule>
    <cfRule type="cellIs" dxfId="324" priority="12" operator="notEqual">
      <formula>$P$4</formula>
    </cfRule>
  </conditionalFormatting>
  <conditionalFormatting sqref="L20:L21">
    <cfRule type="cellIs" dxfId="323" priority="5" operator="equal">
      <formula>$P$7</formula>
    </cfRule>
    <cfRule type="cellIs" dxfId="322" priority="6" operator="equal">
      <formula>$P$6</formula>
    </cfRule>
    <cfRule type="cellIs" dxfId="321" priority="7" operator="equal">
      <formula>$P$5</formula>
    </cfRule>
    <cfRule type="cellIs" dxfId="320" priority="8" operator="notEqual">
      <formula>$P$4</formula>
    </cfRule>
  </conditionalFormatting>
  <conditionalFormatting sqref="L24:L25">
    <cfRule type="cellIs" dxfId="319" priority="1" operator="equal">
      <formula>$P$7</formula>
    </cfRule>
    <cfRule type="cellIs" dxfId="318" priority="2" operator="equal">
      <formula>$P$6</formula>
    </cfRule>
    <cfRule type="cellIs" dxfId="317" priority="3" operator="equal">
      <formula>$P$5</formula>
    </cfRule>
    <cfRule type="cellIs" dxfId="316" priority="4" operator="notEqual">
      <formula>$P$4</formula>
    </cfRule>
  </conditionalFormatting>
  <dataValidations count="1">
    <dataValidation type="list" allowBlank="1" showInputMessage="1" showErrorMessage="1" sqref="L5:L8 L11 L15:L16 L20:L21 L24:L25" xr:uid="{8BE96275-9170-4516-829C-476A7A86136E}">
      <formula1>$P$4:$P$7</formula1>
    </dataValidation>
  </dataValidations>
  <pageMargins left="0.70866141732283472" right="0.70866141732283472" top="0.55118110236220474" bottom="0.55118110236220474"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EDJTR Document" ma:contentTypeID="0x010100611F6414DFB111E7BA88F9DF1743E317009352B53F7B4531429E64425F88C8348C" ma:contentTypeVersion="23" ma:contentTypeDescription="DEDJTR Document" ma:contentTypeScope="" ma:versionID="8b153be0eaed73d2365a0c908fce8761">
  <xsd:schema xmlns:xsd="http://www.w3.org/2001/XMLSchema" xmlns:xs="http://www.w3.org/2001/XMLSchema" xmlns:p="http://schemas.microsoft.com/office/2006/metadata/properties" xmlns:ns2="72567383-1e26-4692-bdad-5f5be69e1590" xmlns:ns3="7c172610-25bb-46a1-b16f-66bb4eaf823a" xmlns:ns4="695a8670-8810-4d9d-b8f3-c67e634357a6" targetNamespace="http://schemas.microsoft.com/office/2006/metadata/properties" ma:root="true" ma:fieldsID="b1abb8be802870c2b664e14b585cf7c1" ns2:_="" ns3:_="" ns4:_="">
    <xsd:import namespace="72567383-1e26-4692-bdad-5f5be69e1590"/>
    <xsd:import namespace="7c172610-25bb-46a1-b16f-66bb4eaf823a"/>
    <xsd:import namespace="695a8670-8810-4d9d-b8f3-c67e634357a6"/>
    <xsd:element name="properties">
      <xsd:complexType>
        <xsd:sequence>
          <xsd:element name="documentManagement">
            <xsd:complexType>
              <xsd:all>
                <xsd:element ref="ns2:e4da834bacf8456d94e18d5d66490b90" minOccurs="0"/>
                <xsd:element ref="ns3:TaxCatchAll" minOccurs="0"/>
                <xsd:element ref="ns3:TaxCatchAllLabel" minOccurs="0"/>
                <xsd:element ref="ns2:be9de15831a746f4b3f0ba041df97669" minOccurs="0"/>
                <xsd:element ref="ns2:f3ed7f362db545f782d865836adbb2f0" minOccurs="0"/>
                <xsd:element ref="ns2:f05bd79f208a407db67995dd77812e30" minOccurs="0"/>
                <xsd:element ref="ns2:d8b18ebf729c4d56932fa517449ed5cb"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3:SharedWithUsers" minOccurs="0"/>
                <xsd:element ref="ns3:SharedWithDetail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567383-1e26-4692-bdad-5f5be69e1590" elementFormDefault="qualified">
    <xsd:import namespace="http://schemas.microsoft.com/office/2006/documentManagement/types"/>
    <xsd:import namespace="http://schemas.microsoft.com/office/infopath/2007/PartnerControls"/>
    <xsd:element name="e4da834bacf8456d94e18d5d66490b90" ma:index="8" nillable="true" ma:taxonomy="true" ma:internalName="e4da834bacf8456d94e18d5d66490b90" ma:taxonomyFieldName="DEDJTRGroup" ma:displayName="Group" ma:indexed="true" ma:fieldId="{e4da834b-acf8-456d-94e1-8d5d66490b90}"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be9de15831a746f4b3f0ba041df97669" ma:index="12" nillable="true" ma:taxonomy="true" ma:internalName="be9de15831a746f4b3f0ba041df97669" ma:taxonomyFieldName="DEDJTRDivision" ma:displayName="Division" ma:indexed="true" ma:fieldId="{be9de158-31a7-46f4-b3f0-ba041df97669}"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f3ed7f362db545f782d865836adbb2f0" ma:index="14" nillable="true" ma:taxonomy="true" ma:internalName="f3ed7f362db545f782d865836adbb2f0" ma:taxonomyFieldName="DEDJTRBranch" ma:displayName="Branch" ma:indexed="true" ma:fieldId="{f3ed7f36-2db5-45f7-82d8-65836adbb2f0}"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f05bd79f208a407db67995dd77812e30" ma:index="16" nillable="true" ma:taxonomy="true" ma:internalName="f05bd79f208a407db67995dd77812e30" ma:taxonomyFieldName="DEDJTRSection" ma:displayName="Section" ma:indexed="true" ma:fieldId="{f05bd79f-208a-407d-b679-95dd77812e30}" ma:sspId="9292314e-c97d-49c1-8ae7-4cb6e1c4f97c" ma:termSetId="da3e7bcb-eeaa-4707-acea-ba4da45cec05" ma:anchorId="00000000-0000-0000-0000-000000000000" ma:open="false" ma:isKeyword="false">
      <xsd:complexType>
        <xsd:sequence>
          <xsd:element ref="pc:Terms" minOccurs="0" maxOccurs="1"/>
        </xsd:sequence>
      </xsd:complexType>
    </xsd:element>
    <xsd:element name="d8b18ebf729c4d56932fa517449ed5cb" ma:index="18" nillable="true" ma:taxonomy="true" ma:internalName="d8b18ebf729c4d56932fa517449ed5cb" ma:taxonomyFieldName="DEDJTRSecurityClassification" ma:displayName="Security Classification" ma:fieldId="{d8b18ebf-729c-4d56-932f-a517449ed5cb}" ma:sspId="9292314e-c97d-49c1-8ae7-4cb6e1c4f97c" ma:termSetId="e639de15-6b57-4d67-aed9-4113af6bf4b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c172610-25bb-46a1-b16f-66bb4eaf823a"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cfc55e24-ad83-413a-8bc7-ed8d08f8b94d}" ma:internalName="TaxCatchAll" ma:showField="CatchAllData" ma:web="7c172610-25bb-46a1-b16f-66bb4eaf823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fc55e24-ad83-413a-8bc7-ed8d08f8b94d}" ma:internalName="TaxCatchAllLabel" ma:readOnly="true" ma:showField="CatchAllDataLabel" ma:web="7c172610-25bb-46a1-b16f-66bb4eaf823a">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5a8670-8810-4d9d-b8f3-c67e634357a6"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Location" ma:index="25" nillable="true" ma:displayName="Location" ma:internalName="MediaServiceLocation"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3ed7f362db545f782d865836adbb2f0 xmlns="72567383-1e26-4692-bdad-5f5be69e1590">
      <Terms xmlns="http://schemas.microsoft.com/office/infopath/2007/PartnerControls"/>
    </f3ed7f362db545f782d865836adbb2f0>
    <TaxCatchAll xmlns="7c172610-25bb-46a1-b16f-66bb4eaf823a">
      <Value>2</Value>
      <Value>1</Value>
    </TaxCatchAll>
    <f05bd79f208a407db67995dd77812e30 xmlns="72567383-1e26-4692-bdad-5f5be69e1590">
      <Terms xmlns="http://schemas.microsoft.com/office/infopath/2007/PartnerControls"/>
    </f05bd79f208a407db67995dd77812e30>
    <e4da834bacf8456d94e18d5d66490b90 xmlns="72567383-1e26-4692-bdad-5f5be69e1590">
      <Terms xmlns="http://schemas.microsoft.com/office/infopath/2007/PartnerControls">
        <TermInfo xmlns="http://schemas.microsoft.com/office/infopath/2007/PartnerControls">
          <TermName xmlns="http://schemas.microsoft.com/office/infopath/2007/PartnerControls">Victorian Fisheries Authority</TermName>
          <TermId xmlns="http://schemas.microsoft.com/office/infopath/2007/PartnerControls">03cedbca-4e15-4e6c-98c1-001cb1a1da76</TermId>
        </TermInfo>
      </Terms>
    </e4da834bacf8456d94e18d5d66490b90>
    <d8b18ebf729c4d56932fa517449ed5cb xmlns="72567383-1e26-4692-bdad-5f5be69e1590">
      <Terms xmlns="http://schemas.microsoft.com/office/infopath/2007/PartnerControls"/>
    </d8b18ebf729c4d56932fa517449ed5cb>
    <be9de15831a746f4b3f0ba041df97669 xmlns="72567383-1e26-4692-bdad-5f5be69e1590">
      <Terms xmlns="http://schemas.microsoft.com/office/infopath/2007/PartnerControls">
        <TermInfo xmlns="http://schemas.microsoft.com/office/infopath/2007/PartnerControls">
          <TermName xmlns="http://schemas.microsoft.com/office/infopath/2007/PartnerControls">Management ＆ Science</TermName>
          <TermId xmlns="http://schemas.microsoft.com/office/infopath/2007/PartnerControls">34c30a66-7301-4d74-b833-86e02b73fddf</TermId>
        </TermInfo>
      </Terms>
    </be9de15831a746f4b3f0ba041df97669>
  </documentManagement>
</p:properties>
</file>

<file path=customXml/itemProps1.xml><?xml version="1.0" encoding="utf-8"?>
<ds:datastoreItem xmlns:ds="http://schemas.openxmlformats.org/officeDocument/2006/customXml" ds:itemID="{780D6E32-CEB5-4B1F-92F2-5C687522D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567383-1e26-4692-bdad-5f5be69e1590"/>
    <ds:schemaRef ds:uri="7c172610-25bb-46a1-b16f-66bb4eaf823a"/>
    <ds:schemaRef ds:uri="695a8670-8810-4d9d-b8f3-c67e634357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79EC6F-4B78-4892-817F-9C95BC455CCF}">
  <ds:schemaRefs>
    <ds:schemaRef ds:uri="http://schemas.microsoft.com/sharepoint/v3/contenttype/forms"/>
  </ds:schemaRefs>
</ds:datastoreItem>
</file>

<file path=customXml/itemProps3.xml><?xml version="1.0" encoding="utf-8"?>
<ds:datastoreItem xmlns:ds="http://schemas.openxmlformats.org/officeDocument/2006/customXml" ds:itemID="{A09663AA-A66D-4D51-96FC-DF25E11DB147}">
  <ds:schemaRefs>
    <ds:schemaRef ds:uri="http://schemas.openxmlformats.org/package/2006/metadata/core-properties"/>
    <ds:schemaRef ds:uri="7c172610-25bb-46a1-b16f-66bb4eaf823a"/>
    <ds:schemaRef ds:uri="http://purl.org/dc/terms/"/>
    <ds:schemaRef ds:uri="695a8670-8810-4d9d-b8f3-c67e634357a6"/>
    <ds:schemaRef ds:uri="http://purl.org/dc/dcmitype/"/>
    <ds:schemaRef ds:uri="http://schemas.microsoft.com/office/infopath/2007/PartnerControls"/>
    <ds:schemaRef ds:uri="http://schemas.microsoft.com/office/2006/documentManagement/types"/>
    <ds:schemaRef ds:uri="72567383-1e26-4692-bdad-5f5be69e1590"/>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Sheet1</vt:lpstr>
      <vt:lpstr>CZ Abalone</vt:lpstr>
      <vt:lpstr>EZ Abalone</vt:lpstr>
      <vt:lpstr>WZ Abalone</vt:lpstr>
      <vt:lpstr>Bait (General)</vt:lpstr>
      <vt:lpstr>GL Bait</vt:lpstr>
      <vt:lpstr>LT Bait</vt:lpstr>
      <vt:lpstr>Mallacoota Bait</vt:lpstr>
      <vt:lpstr>Snowy River Bait</vt:lpstr>
      <vt:lpstr>Sydenham Inlet Bait</vt:lpstr>
      <vt:lpstr>Corner Inlet</vt:lpstr>
      <vt:lpstr>Eel</vt:lpstr>
      <vt:lpstr>Giant crab</vt:lpstr>
      <vt:lpstr>Gippsland Lakes</vt:lpstr>
      <vt:lpstr>GL Mussel Dive</vt:lpstr>
      <vt:lpstr>OFAL</vt:lpstr>
      <vt:lpstr>Ocean Purse Seine</vt:lpstr>
      <vt:lpstr>EZ Rock lobster</vt:lpstr>
      <vt:lpstr>WZ Rock lobster</vt:lpstr>
      <vt:lpstr>PPB Dive Scallop</vt:lpstr>
      <vt:lpstr>Ocean scallop</vt:lpstr>
      <vt:lpstr>Sea Urchin</vt:lpstr>
      <vt:lpstr>Inshore trawl</vt:lpstr>
      <vt:lpstr>WP-PPB</vt:lpstr>
      <vt:lpstr>Wrasse</vt:lpstr>
      <vt:lpstr>FR Abalone</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2018-19 wildcatch midyear reports MAIN</dc:title>
  <dc:creator>Megan Njoroge</dc:creator>
  <cp:lastModifiedBy>Megan Njoroge (DEDJTR)</cp:lastModifiedBy>
  <cp:lastPrinted>2019-06-17T02:42:36Z</cp:lastPrinted>
  <dcterms:created xsi:type="dcterms:W3CDTF">2015-05-27T06:01:10Z</dcterms:created>
  <dcterms:modified xsi:type="dcterms:W3CDTF">2019-06-17T02:43:30Z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0x010100611F6414DFB111E7BA88F9DF1743E317009352B53F7B4531429E64425F88C8348C</vt:lpwstr>
  </property>
  <property fmtid="{D5CDD505-2E9C-101B-9397-08002B2CF9AE}" pid="3" name="DEDJTRDivision">
    <vt:lpwstr>2;#Management ＆ Science|34c30a66-7301-4d74-b833-86e02b73fddf</vt:lpwstr>
  </property>
  <property fmtid="{D5CDD505-2E9C-101B-9397-08002B2CF9AE}" pid="4" name="Order">
    <vt:r8>100</vt:r8>
  </property>
  <property fmtid="{D5CDD505-2E9C-101B-9397-08002B2CF9AE}" pid="5" name="DEDJTRGroup">
    <vt:lpwstr>1;#Victorian Fisheries Authority|03cedbca-4e15-4e6c-98c1-001cb1a1da76</vt:lpwstr>
  </property>
  <property fmtid="{D5CDD505-2E9C-101B-9397-08002B2CF9AE}" pid="6" name="DEDJTRSecurityClassification">
    <vt:lpwstr/>
  </property>
  <property fmtid="{D5CDD505-2E9C-101B-9397-08002B2CF9AE}" pid="7" name="DEDJTRBranch">
    <vt:lpwstr/>
  </property>
  <property fmtid="{D5CDD505-2E9C-101B-9397-08002B2CF9AE}" pid="8" name="DEDJTRSection">
    <vt:lpwstr/>
  </property>
  <property fmtid="{D5CDD505-2E9C-101B-9397-08002B2CF9AE}" pid="9" name="AuthorIds_UIVersion_512">
    <vt:lpwstr>42</vt:lpwstr>
  </property>
</Properties>
</file>